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01"/>
  <workbookPr filterPrivacy="1" defaultThemeVersion="166925"/>
  <xr:revisionPtr revIDLastSave="0" documentId="13_ncr:4000b_{FB5DEE0E-3FFD-4715-9A88-5759610C683B}" xr6:coauthVersionLast="47" xr6:coauthVersionMax="47" xr10:uidLastSave="{00000000-0000-0000-0000-000000000000}"/>
  <bookViews>
    <workbookView xWindow="-120" yWindow="-120" windowWidth="29040" windowHeight="15720" tabRatio="763"/>
  </bookViews>
  <sheets>
    <sheet name="Opći dio - sažetak" sheetId="1" r:id="rId1"/>
    <sheet name="Prihodi prema ekonomskoj klas." sheetId="2" r:id="rId2"/>
    <sheet name="Rashodi prema ekonomskoj klas." sheetId="3" r:id="rId3"/>
    <sheet name="Prihodi prema izvorima financ." sheetId="4" r:id="rId4"/>
    <sheet name="Rashodi prema izvorima financ." sheetId="5" r:id="rId5"/>
    <sheet name="Rashodi prema funkcijskoj klas." sheetId="15" r:id="rId6"/>
    <sheet name="Primici prema ekonomskoj klas." sheetId="6" r:id="rId7"/>
    <sheet name="Izdaci prema ekonomskoj klas." sheetId="7" r:id="rId8"/>
    <sheet name="Primici prema izvorima financ." sheetId="8" r:id="rId9"/>
    <sheet name="Izdaci prema izvorima financ." sheetId="9" r:id="rId10"/>
    <sheet name="Posebni dio" sheetId="10" r:id="rId11"/>
    <sheet name="Obrazloženje općeg dijela" sheetId="11" r:id="rId12"/>
    <sheet name="Obrazloženje posebnog dijela" sheetId="13" r:id="rId13"/>
  </sheets>
  <definedNames>
    <definedName name="_xlnm.Print_Titles" localSheetId="7">'Izdaci prema ekonomskoj klas.'!$1:$1</definedName>
    <definedName name="_xlnm.Print_Titles" localSheetId="9">'Izdaci prema izvorima financ.'!$1:$1</definedName>
    <definedName name="_xlnm.Print_Titles" localSheetId="3">'Prihodi prema izvorima financ.'!#REF!</definedName>
    <definedName name="_xlnm.Print_Titles" localSheetId="6">'Primici prema ekonomskoj klas.'!$1:$1</definedName>
    <definedName name="_xlnm.Print_Titles" localSheetId="8">'Primici prema izvorima financ.'!$1:$1</definedName>
    <definedName name="_xlnm.Print_Titles" localSheetId="2">'Rashodi prema ekonomskoj klas.'!#REF!</definedName>
    <definedName name="_xlnm.Print_Titles" localSheetId="5">'Rashodi prema funkcijskoj klas.'!#REF!</definedName>
    <definedName name="_xlnm.Print_Titles" localSheetId="4">'Rashodi prema izvorima financ.'!#REF!</definedName>
  </definedNames>
  <calcPr calcId="191029" fullCalcOnLoad="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1" i="15" l="1"/>
  <c r="N11" i="15"/>
  <c r="M12" i="15"/>
  <c r="N12" i="15"/>
  <c r="M13" i="15"/>
  <c r="N13" i="15"/>
  <c r="Q187" i="13"/>
  <c r="Q186" i="13"/>
  <c r="Q185" i="13"/>
  <c r="Q184" i="13"/>
  <c r="Q183" i="13"/>
  <c r="Q176" i="13"/>
  <c r="Q175" i="13"/>
  <c r="Q174" i="13"/>
  <c r="Q173" i="13"/>
  <c r="Q172" i="13"/>
  <c r="Q171" i="13"/>
  <c r="Q170" i="13"/>
  <c r="Q163" i="13"/>
  <c r="Q162" i="13"/>
  <c r="Q161" i="13"/>
  <c r="Q160" i="13"/>
  <c r="Q159" i="13"/>
  <c r="Q158" i="13"/>
  <c r="Q157" i="13"/>
  <c r="Q156" i="13"/>
  <c r="Q155" i="13"/>
  <c r="Q154" i="13"/>
  <c r="Q153" i="13"/>
  <c r="Q152" i="13"/>
  <c r="Q148" i="13"/>
  <c r="Q147" i="13"/>
  <c r="Q146" i="13"/>
  <c r="Q145" i="13"/>
  <c r="Q143" i="13"/>
  <c r="Q142" i="13"/>
  <c r="Q132" i="13"/>
  <c r="Q131" i="13"/>
  <c r="Q130" i="13"/>
  <c r="Q129" i="13"/>
  <c r="Q128" i="13"/>
  <c r="Q127" i="13"/>
  <c r="Q126" i="13"/>
  <c r="Q125" i="13"/>
  <c r="Q124" i="13"/>
  <c r="Q123" i="13"/>
  <c r="Q122" i="13"/>
  <c r="Q120" i="13"/>
  <c r="Q119" i="13"/>
  <c r="Q118" i="13"/>
  <c r="Q117" i="13"/>
  <c r="Q116" i="13"/>
  <c r="Q115" i="13"/>
  <c r="Q114" i="13"/>
  <c r="Q113" i="13"/>
  <c r="Q112" i="13"/>
  <c r="Q111" i="13"/>
  <c r="Q109" i="13"/>
  <c r="Q108" i="13"/>
  <c r="Q104" i="13"/>
  <c r="Q103" i="13"/>
  <c r="Q102" i="13"/>
  <c r="Q101" i="13"/>
  <c r="Q100" i="13"/>
  <c r="Q99" i="13"/>
  <c r="Q98" i="13"/>
  <c r="Q97" i="13"/>
  <c r="Q96" i="13"/>
  <c r="Q94" i="13"/>
  <c r="Q92" i="13"/>
  <c r="Q91" i="13"/>
  <c r="Q90" i="13"/>
  <c r="Q89" i="13"/>
  <c r="Q88" i="13"/>
  <c r="Q87" i="13"/>
  <c r="Q86" i="13"/>
  <c r="Q84" i="13"/>
  <c r="Q83" i="13"/>
  <c r="Q82" i="13"/>
  <c r="Q81" i="13"/>
  <c r="Q80" i="13"/>
  <c r="Q79" i="13"/>
  <c r="Q78" i="13"/>
  <c r="Q76" i="13"/>
  <c r="Q75" i="13"/>
  <c r="Q74" i="13"/>
  <c r="Q73" i="13"/>
  <c r="Q71" i="13"/>
  <c r="Q70" i="13"/>
  <c r="Q69" i="13"/>
  <c r="Q67" i="13"/>
  <c r="Q66" i="13"/>
  <c r="Q65" i="13"/>
  <c r="Q64" i="13"/>
  <c r="Q63" i="13"/>
  <c r="Q62" i="13"/>
  <c r="Q61" i="13"/>
  <c r="Q60" i="13"/>
  <c r="Q56" i="13"/>
  <c r="Q55" i="13"/>
  <c r="Q54" i="13"/>
  <c r="Q53" i="13"/>
  <c r="Q51" i="13"/>
  <c r="Q49" i="13"/>
  <c r="Q46" i="13"/>
  <c r="Q45" i="13"/>
  <c r="Q44" i="13"/>
  <c r="Q40" i="13"/>
  <c r="Q39" i="13"/>
  <c r="Q38" i="13"/>
  <c r="Q37" i="13"/>
  <c r="Q36" i="13"/>
  <c r="Q35" i="13"/>
  <c r="Q34" i="13"/>
  <c r="Q33" i="13"/>
  <c r="Q30" i="13"/>
  <c r="Q29" i="13"/>
  <c r="Q28" i="13"/>
  <c r="Q27" i="13"/>
  <c r="Q26" i="13"/>
  <c r="Q25" i="13"/>
  <c r="Q24" i="13"/>
  <c r="Q23" i="13"/>
  <c r="Q21" i="13"/>
  <c r="Q20" i="13"/>
  <c r="Q19" i="13"/>
  <c r="Q18" i="13"/>
  <c r="Q17" i="13"/>
  <c r="Q16" i="13"/>
  <c r="Q15" i="13"/>
  <c r="Q14" i="13"/>
  <c r="Q13" i="13"/>
  <c r="Q12" i="13"/>
  <c r="D9" i="11"/>
  <c r="E9" i="11"/>
  <c r="I9" i="11" s="1"/>
  <c r="D10" i="11"/>
  <c r="E10" i="11"/>
  <c r="F10" i="11"/>
  <c r="F9" i="11" s="1"/>
  <c r="G10" i="11"/>
  <c r="G9" i="11" s="1"/>
  <c r="J10" i="11"/>
  <c r="H11" i="11"/>
  <c r="H10" i="11" s="1"/>
  <c r="J11" i="11"/>
  <c r="D12" i="11"/>
  <c r="E12" i="11"/>
  <c r="I12" i="11" s="1"/>
  <c r="F12" i="11"/>
  <c r="G12" i="11"/>
  <c r="D13" i="11"/>
  <c r="H13" i="11"/>
  <c r="H12" i="11" s="1"/>
  <c r="I13" i="11"/>
  <c r="J13" i="11"/>
  <c r="F16" i="11"/>
  <c r="G16" i="11"/>
  <c r="D17" i="11"/>
  <c r="D16" i="11" s="1"/>
  <c r="E17" i="11"/>
  <c r="I17" i="11" s="1"/>
  <c r="F17" i="11"/>
  <c r="G17" i="11"/>
  <c r="D18" i="11"/>
  <c r="H18" i="11"/>
  <c r="H17" i="11" s="1"/>
  <c r="H16" i="11" s="1"/>
  <c r="I18" i="11"/>
  <c r="F19" i="11"/>
  <c r="G19" i="11"/>
  <c r="D20" i="11"/>
  <c r="D19" i="11" s="1"/>
  <c r="E20" i="11"/>
  <c r="I20" i="11" s="1"/>
  <c r="F20" i="11"/>
  <c r="G20" i="11"/>
  <c r="D21" i="11"/>
  <c r="H21" i="11"/>
  <c r="H20" i="11" s="1"/>
  <c r="H19" i="11" s="1"/>
  <c r="I21" i="11"/>
  <c r="J21" i="11"/>
  <c r="E22" i="11"/>
  <c r="F22" i="11"/>
  <c r="G22" i="11"/>
  <c r="J22" i="11"/>
  <c r="D23" i="11"/>
  <c r="J23" i="11"/>
  <c r="H24" i="11"/>
  <c r="J24" i="11"/>
  <c r="E25" i="11"/>
  <c r="F25" i="11"/>
  <c r="G25" i="11"/>
  <c r="J25" i="11"/>
  <c r="D26" i="11"/>
  <c r="D25" i="11" s="1"/>
  <c r="H26" i="11"/>
  <c r="H25" i="11" s="1"/>
  <c r="H22" i="11" s="1"/>
  <c r="I26" i="11"/>
  <c r="J26" i="11"/>
  <c r="H27" i="11"/>
  <c r="J27" i="11"/>
  <c r="E29" i="11"/>
  <c r="E28" i="11" s="1"/>
  <c r="F29" i="11"/>
  <c r="F28" i="11" s="1"/>
  <c r="G29" i="11"/>
  <c r="G28" i="11" s="1"/>
  <c r="H29" i="11"/>
  <c r="H28" i="11" s="1"/>
  <c r="J29" i="11"/>
  <c r="D30" i="11"/>
  <c r="I30" i="11" s="1"/>
  <c r="H30" i="11"/>
  <c r="J30" i="11"/>
  <c r="H31" i="11"/>
  <c r="J31" i="11"/>
  <c r="D32" i="11"/>
  <c r="I32" i="11"/>
  <c r="J32" i="11"/>
  <c r="J38" i="11"/>
  <c r="J39" i="11"/>
  <c r="J40" i="11"/>
  <c r="J41" i="11"/>
  <c r="D42" i="11"/>
  <c r="D41" i="11" s="1"/>
  <c r="I42" i="11"/>
  <c r="J42" i="11"/>
  <c r="D43" i="11"/>
  <c r="I43" i="11" s="1"/>
  <c r="J43" i="11"/>
  <c r="D44" i="11"/>
  <c r="I44" i="11"/>
  <c r="J44" i="11"/>
  <c r="D45" i="11"/>
  <c r="I45" i="11"/>
  <c r="J45" i="11"/>
  <c r="D46" i="11"/>
  <c r="I46" i="11"/>
  <c r="J46" i="11"/>
  <c r="J47" i="11"/>
  <c r="D48" i="11"/>
  <c r="D47" i="11" s="1"/>
  <c r="I47" i="11" s="1"/>
  <c r="I48" i="11"/>
  <c r="J48" i="11"/>
  <c r="D49" i="11"/>
  <c r="J50" i="11"/>
  <c r="D51" i="11"/>
  <c r="I51" i="11"/>
  <c r="J51" i="11"/>
  <c r="D52" i="11"/>
  <c r="I52" i="11"/>
  <c r="J52" i="11"/>
  <c r="D53" i="11"/>
  <c r="I53" i="11"/>
  <c r="J53" i="11"/>
  <c r="D54" i="11"/>
  <c r="I54" i="11"/>
  <c r="J54" i="11"/>
  <c r="D55" i="11"/>
  <c r="J55" i="11"/>
  <c r="J56" i="11"/>
  <c r="D57" i="11"/>
  <c r="D56" i="11" s="1"/>
  <c r="I56" i="11" s="1"/>
  <c r="I57" i="11"/>
  <c r="J57" i="11"/>
  <c r="D58" i="11"/>
  <c r="I58" i="11" s="1"/>
  <c r="D59" i="11"/>
  <c r="J59" i="11"/>
  <c r="D60" i="11"/>
  <c r="I60" i="11"/>
  <c r="J60" i="11"/>
  <c r="D61" i="11"/>
  <c r="J61" i="11"/>
  <c r="D62" i="11"/>
  <c r="I62" i="11"/>
  <c r="J63" i="11"/>
  <c r="D64" i="11"/>
  <c r="I64" i="11" s="1"/>
  <c r="J64" i="11"/>
  <c r="D65" i="11"/>
  <c r="I65" i="11"/>
  <c r="J65" i="11"/>
  <c r="D66" i="11"/>
  <c r="I66" i="11"/>
  <c r="J66" i="11"/>
  <c r="D67" i="11"/>
  <c r="I67" i="11"/>
  <c r="J67" i="11"/>
  <c r="D68" i="11"/>
  <c r="I68" i="11"/>
  <c r="D69" i="11"/>
  <c r="I69" i="11"/>
  <c r="J69" i="11"/>
  <c r="D70" i="11"/>
  <c r="I70" i="11"/>
  <c r="J70" i="11"/>
  <c r="D71" i="11"/>
  <c r="I71" i="11"/>
  <c r="J71" i="11"/>
  <c r="D72" i="11"/>
  <c r="I72" i="11"/>
  <c r="J72" i="11"/>
  <c r="J73" i="11"/>
  <c r="D74" i="11"/>
  <c r="D73" i="11" s="1"/>
  <c r="I73" i="11" s="1"/>
  <c r="I74" i="11"/>
  <c r="J74" i="11"/>
  <c r="D75" i="11"/>
  <c r="J75" i="11"/>
  <c r="D76" i="11"/>
  <c r="I76" i="11" s="1"/>
  <c r="J76" i="11"/>
  <c r="D77" i="11"/>
  <c r="J77" i="11"/>
  <c r="D78" i="11"/>
  <c r="I78" i="11"/>
  <c r="J78" i="11"/>
  <c r="D79" i="11"/>
  <c r="J79" i="11"/>
  <c r="D80" i="11"/>
  <c r="I80" i="11"/>
  <c r="J80" i="11"/>
  <c r="J81" i="11"/>
  <c r="J82" i="11"/>
  <c r="D83" i="11"/>
  <c r="D82" i="11" s="1"/>
  <c r="I83" i="11"/>
  <c r="J83" i="11"/>
  <c r="D84" i="11"/>
  <c r="I84" i="11" s="1"/>
  <c r="J84" i="11"/>
  <c r="D85" i="11"/>
  <c r="I85" i="11"/>
  <c r="J85" i="11"/>
  <c r="J86" i="11"/>
  <c r="J87" i="11"/>
  <c r="D88" i="11"/>
  <c r="D87" i="11" s="1"/>
  <c r="I88" i="11"/>
  <c r="J88" i="11"/>
  <c r="D89" i="11"/>
  <c r="D90" i="11"/>
  <c r="D91" i="11"/>
  <c r="J93" i="11"/>
  <c r="D95" i="11"/>
  <c r="D94" i="11" s="1"/>
  <c r="J97" i="11"/>
  <c r="D98" i="11"/>
  <c r="J100" i="11"/>
  <c r="D101" i="11"/>
  <c r="D100" i="11" s="1"/>
  <c r="I101" i="11"/>
  <c r="J101" i="11"/>
  <c r="J102" i="11"/>
  <c r="J103" i="11"/>
  <c r="J105" i="11"/>
  <c r="D106" i="11"/>
  <c r="D105" i="11" s="1"/>
  <c r="I105" i="11" s="1"/>
  <c r="I106" i="11"/>
  <c r="J106" i="11"/>
  <c r="Q187" i="10"/>
  <c r="Q186" i="10"/>
  <c r="Q185" i="10"/>
  <c r="Q184" i="10"/>
  <c r="Q183" i="10"/>
  <c r="Q176" i="10"/>
  <c r="Q175" i="10"/>
  <c r="Q174" i="10"/>
  <c r="Q173" i="10"/>
  <c r="Q172" i="10"/>
  <c r="Q171" i="10"/>
  <c r="Q170" i="10"/>
  <c r="Q163" i="10"/>
  <c r="Q162" i="10"/>
  <c r="Q161" i="10"/>
  <c r="Q160" i="10"/>
  <c r="Q159" i="10"/>
  <c r="Q158" i="10"/>
  <c r="Q157" i="10"/>
  <c r="Q156" i="10"/>
  <c r="Q155" i="10"/>
  <c r="Q154" i="10"/>
  <c r="Q153" i="10"/>
  <c r="Q152" i="10"/>
  <c r="Q148" i="10"/>
  <c r="Q147" i="10"/>
  <c r="Q146" i="10"/>
  <c r="Q145" i="10"/>
  <c r="Q143" i="10"/>
  <c r="Q142" i="10"/>
  <c r="Q132" i="10"/>
  <c r="Q131" i="10"/>
  <c r="Q130" i="10"/>
  <c r="Q129" i="10"/>
  <c r="Q128" i="10"/>
  <c r="Q127" i="10"/>
  <c r="Q126" i="10"/>
  <c r="Q125" i="10"/>
  <c r="Q124" i="10"/>
  <c r="Q123" i="10"/>
  <c r="Q122" i="10"/>
  <c r="Q120" i="10"/>
  <c r="Q119" i="10"/>
  <c r="Q118" i="10"/>
  <c r="Q117" i="10"/>
  <c r="Q116" i="10"/>
  <c r="Q115" i="10"/>
  <c r="Q114" i="10"/>
  <c r="Q113" i="10"/>
  <c r="Q112" i="10"/>
  <c r="Q111" i="10"/>
  <c r="Q109" i="10"/>
  <c r="Q108" i="10"/>
  <c r="Q104" i="10"/>
  <c r="Q103" i="10"/>
  <c r="Q102" i="10"/>
  <c r="Q101" i="10"/>
  <c r="Q100" i="10"/>
  <c r="Q99" i="10"/>
  <c r="Q98" i="10"/>
  <c r="Q97" i="10"/>
  <c r="Q96" i="10"/>
  <c r="Q94" i="10"/>
  <c r="Q92" i="10"/>
  <c r="Q91" i="10"/>
  <c r="Q90" i="10"/>
  <c r="Q89" i="10"/>
  <c r="Q88" i="10"/>
  <c r="Q87" i="10"/>
  <c r="Q86" i="10"/>
  <c r="Q84" i="10"/>
  <c r="Q83" i="10"/>
  <c r="Q82" i="10"/>
  <c r="Q81" i="10"/>
  <c r="Q80" i="10"/>
  <c r="Q79" i="10"/>
  <c r="Q78" i="10"/>
  <c r="Q76" i="10"/>
  <c r="Q75" i="10"/>
  <c r="Q74" i="10"/>
  <c r="Q73" i="10"/>
  <c r="Q71" i="10"/>
  <c r="Q70" i="10"/>
  <c r="Q69" i="10"/>
  <c r="Q67" i="10"/>
  <c r="Q66" i="10"/>
  <c r="Q65" i="10"/>
  <c r="Q64" i="10"/>
  <c r="Q63" i="10"/>
  <c r="Q62" i="10"/>
  <c r="Q61" i="10"/>
  <c r="Q60" i="10"/>
  <c r="Q56" i="10"/>
  <c r="Q55" i="10"/>
  <c r="Q54" i="10"/>
  <c r="Q53" i="10"/>
  <c r="Q51" i="10"/>
  <c r="Q49" i="10"/>
  <c r="Q46" i="10"/>
  <c r="Q45" i="10"/>
  <c r="Q44" i="10"/>
  <c r="Q40" i="10"/>
  <c r="Q39" i="10"/>
  <c r="Q38" i="10"/>
  <c r="Q37" i="10"/>
  <c r="Q36" i="10"/>
  <c r="Q35" i="10"/>
  <c r="Q34" i="10"/>
  <c r="Q33" i="10"/>
  <c r="Q30" i="10"/>
  <c r="Q29" i="10"/>
  <c r="Q28" i="10"/>
  <c r="Q27" i="10"/>
  <c r="Q26" i="10"/>
  <c r="Q25" i="10"/>
  <c r="Q24" i="10"/>
  <c r="Q23" i="10"/>
  <c r="Q21" i="10"/>
  <c r="Q20" i="10"/>
  <c r="Q19" i="10"/>
  <c r="Q18" i="10"/>
  <c r="Q17" i="10"/>
  <c r="Q16" i="10"/>
  <c r="Q15" i="10"/>
  <c r="Q14" i="10"/>
  <c r="Q13" i="10"/>
  <c r="Q12" i="10"/>
  <c r="J10" i="5"/>
  <c r="L11" i="5"/>
  <c r="E12" i="5"/>
  <c r="E11" i="5" s="1"/>
  <c r="L12" i="5"/>
  <c r="M12" i="5"/>
  <c r="E13" i="5"/>
  <c r="L13" i="5"/>
  <c r="M13" i="5"/>
  <c r="E14" i="5"/>
  <c r="K14" i="5"/>
  <c r="L14" i="5" s="1"/>
  <c r="E15" i="5"/>
  <c r="K15" i="5"/>
  <c r="L15" i="5"/>
  <c r="M15" i="5"/>
  <c r="L16" i="5"/>
  <c r="M16" i="5"/>
  <c r="L17" i="5"/>
  <c r="M17" i="5"/>
  <c r="E19" i="5"/>
  <c r="E18" i="5" s="1"/>
  <c r="K19" i="5"/>
  <c r="L19" i="5" s="1"/>
  <c r="L20" i="5"/>
  <c r="M20" i="5"/>
  <c r="E21" i="5"/>
  <c r="K21" i="5"/>
  <c r="M21" i="5"/>
  <c r="E22" i="5"/>
  <c r="M22" i="5"/>
  <c r="M23" i="5"/>
  <c r="M11" i="4"/>
  <c r="H12" i="4"/>
  <c r="H11" i="4" s="1"/>
  <c r="N12" i="4"/>
  <c r="N11" i="4" s="1"/>
  <c r="Q12" i="4"/>
  <c r="R12" i="4"/>
  <c r="Q13" i="4"/>
  <c r="R13" i="4"/>
  <c r="R14" i="4"/>
  <c r="Q15" i="4"/>
  <c r="R15" i="4"/>
  <c r="Q16" i="4"/>
  <c r="R16" i="4"/>
  <c r="Q17" i="4"/>
  <c r="R17" i="4"/>
  <c r="Q18" i="4"/>
  <c r="R18" i="4"/>
  <c r="H19" i="4"/>
  <c r="Q19" i="4"/>
  <c r="R19" i="4"/>
  <c r="Q20" i="4"/>
  <c r="R20" i="4"/>
  <c r="Q21" i="4"/>
  <c r="R21" i="4"/>
  <c r="R22" i="4"/>
  <c r="Q23" i="4"/>
  <c r="R23" i="4"/>
  <c r="Q24" i="4"/>
  <c r="R24" i="4"/>
  <c r="R9" i="3"/>
  <c r="R10" i="3"/>
  <c r="R11" i="3"/>
  <c r="R12" i="3"/>
  <c r="H13" i="3"/>
  <c r="Q13" i="3"/>
  <c r="R13" i="3"/>
  <c r="H14" i="3"/>
  <c r="Q14" i="3" s="1"/>
  <c r="R14" i="3"/>
  <c r="H15" i="3"/>
  <c r="Q15" i="3"/>
  <c r="R15" i="3"/>
  <c r="R16" i="3"/>
  <c r="H17" i="3"/>
  <c r="H16" i="3" s="1"/>
  <c r="Q16" i="3" s="1"/>
  <c r="Q17" i="3"/>
  <c r="R17" i="3"/>
  <c r="R18" i="3"/>
  <c r="H19" i="3"/>
  <c r="Q19" i="3"/>
  <c r="R19" i="3"/>
  <c r="H20" i="3"/>
  <c r="R21" i="3"/>
  <c r="R22" i="3"/>
  <c r="H23" i="3"/>
  <c r="Q23" i="3"/>
  <c r="R23" i="3"/>
  <c r="H24" i="3"/>
  <c r="Q24" i="3"/>
  <c r="R24" i="3"/>
  <c r="H25" i="3"/>
  <c r="Q25" i="3"/>
  <c r="R25" i="3"/>
  <c r="H26" i="3"/>
  <c r="R26" i="3"/>
  <c r="R27" i="3"/>
  <c r="H28" i="3"/>
  <c r="Q28" i="3"/>
  <c r="R28" i="3"/>
  <c r="H29" i="3"/>
  <c r="Q29" i="3"/>
  <c r="H30" i="3"/>
  <c r="R30" i="3"/>
  <c r="H31" i="3"/>
  <c r="Q31" i="3"/>
  <c r="R31" i="3"/>
  <c r="H32" i="3"/>
  <c r="R32" i="3"/>
  <c r="H33" i="3"/>
  <c r="Q33" i="3" s="1"/>
  <c r="R34" i="3"/>
  <c r="H35" i="3"/>
  <c r="Q35" i="3" s="1"/>
  <c r="R35" i="3"/>
  <c r="H36" i="3"/>
  <c r="Q36" i="3"/>
  <c r="R36" i="3"/>
  <c r="H37" i="3"/>
  <c r="Q37" i="3"/>
  <c r="R37" i="3"/>
  <c r="H38" i="3"/>
  <c r="Q38" i="3"/>
  <c r="R38" i="3"/>
  <c r="H39" i="3"/>
  <c r="Q39" i="3"/>
  <c r="H40" i="3"/>
  <c r="Q40" i="3" s="1"/>
  <c r="R40" i="3"/>
  <c r="H41" i="3"/>
  <c r="Q41" i="3"/>
  <c r="R41" i="3"/>
  <c r="H42" i="3"/>
  <c r="Q42" i="3"/>
  <c r="R42" i="3"/>
  <c r="H43" i="3"/>
  <c r="Q43" i="3"/>
  <c r="R43" i="3"/>
  <c r="R44" i="3"/>
  <c r="H45" i="3"/>
  <c r="Q45" i="3"/>
  <c r="R45" i="3"/>
  <c r="H46" i="3"/>
  <c r="R46" i="3"/>
  <c r="H47" i="3"/>
  <c r="Q47" i="3" s="1"/>
  <c r="R47" i="3"/>
  <c r="H48" i="3"/>
  <c r="R48" i="3"/>
  <c r="H49" i="3"/>
  <c r="Q49" i="3"/>
  <c r="R49" i="3"/>
  <c r="H50" i="3"/>
  <c r="R50" i="3"/>
  <c r="H51" i="3"/>
  <c r="Q51" i="3"/>
  <c r="R51" i="3"/>
  <c r="R52" i="3"/>
  <c r="R53" i="3"/>
  <c r="H54" i="3"/>
  <c r="Q54" i="3" s="1"/>
  <c r="R54" i="3"/>
  <c r="H55" i="3"/>
  <c r="Q55" i="3" s="1"/>
  <c r="R55" i="3"/>
  <c r="H56" i="3"/>
  <c r="Q56" i="3"/>
  <c r="R56" i="3"/>
  <c r="R57" i="3"/>
  <c r="R58" i="3"/>
  <c r="H59" i="3"/>
  <c r="Q59" i="3"/>
  <c r="R59" i="3"/>
  <c r="H60" i="3"/>
  <c r="H62" i="3"/>
  <c r="H61" i="3" s="1"/>
  <c r="R64" i="3"/>
  <c r="H66" i="3"/>
  <c r="H65" i="3" s="1"/>
  <c r="R68" i="3"/>
  <c r="H69" i="3"/>
  <c r="R71" i="3"/>
  <c r="H72" i="3"/>
  <c r="H71" i="3" s="1"/>
  <c r="Q71" i="3" s="1"/>
  <c r="Q72" i="3"/>
  <c r="R72" i="3"/>
  <c r="R73" i="3"/>
  <c r="R74" i="3"/>
  <c r="R76" i="3"/>
  <c r="H77" i="3"/>
  <c r="H76" i="3" s="1"/>
  <c r="Q76" i="3" s="1"/>
  <c r="Q77" i="3"/>
  <c r="R77" i="3"/>
  <c r="D9" i="2"/>
  <c r="E9" i="2"/>
  <c r="D10" i="2"/>
  <c r="E10" i="2"/>
  <c r="F10" i="2"/>
  <c r="F9" i="2" s="1"/>
  <c r="G10" i="2"/>
  <c r="G9" i="2" s="1"/>
  <c r="J10" i="2"/>
  <c r="H11" i="2"/>
  <c r="H10" i="2" s="1"/>
  <c r="J11" i="2"/>
  <c r="D12" i="2"/>
  <c r="E12" i="2"/>
  <c r="I12" i="2" s="1"/>
  <c r="F12" i="2"/>
  <c r="G12" i="2"/>
  <c r="D13" i="2"/>
  <c r="H13" i="2"/>
  <c r="H12" i="2" s="1"/>
  <c r="I13" i="2"/>
  <c r="J13" i="2"/>
  <c r="F16" i="2"/>
  <c r="G16" i="2"/>
  <c r="D17" i="2"/>
  <c r="D16" i="2" s="1"/>
  <c r="E17" i="2"/>
  <c r="I17" i="2" s="1"/>
  <c r="F17" i="2"/>
  <c r="G17" i="2"/>
  <c r="D18" i="2"/>
  <c r="H18" i="2"/>
  <c r="H17" i="2" s="1"/>
  <c r="H16" i="2" s="1"/>
  <c r="I18" i="2"/>
  <c r="F19" i="2"/>
  <c r="G19" i="2"/>
  <c r="D20" i="2"/>
  <c r="D19" i="2" s="1"/>
  <c r="E20" i="2"/>
  <c r="J20" i="2" s="1"/>
  <c r="F20" i="2"/>
  <c r="G20" i="2"/>
  <c r="D21" i="2"/>
  <c r="H21" i="2"/>
  <c r="H20" i="2" s="1"/>
  <c r="H19" i="2" s="1"/>
  <c r="I21" i="2"/>
  <c r="J21" i="2"/>
  <c r="E22" i="2"/>
  <c r="F22" i="2"/>
  <c r="G22" i="2"/>
  <c r="J22" i="2"/>
  <c r="D23" i="2"/>
  <c r="J23" i="2"/>
  <c r="H24" i="2"/>
  <c r="J24" i="2"/>
  <c r="E25" i="2"/>
  <c r="F25" i="2"/>
  <c r="G25" i="2"/>
  <c r="J25" i="2"/>
  <c r="D26" i="2"/>
  <c r="D25" i="2" s="1"/>
  <c r="H26" i="2"/>
  <c r="H25" i="2" s="1"/>
  <c r="H22" i="2" s="1"/>
  <c r="I26" i="2"/>
  <c r="J26" i="2"/>
  <c r="H27" i="2"/>
  <c r="J27" i="2"/>
  <c r="E29" i="2"/>
  <c r="E28" i="2" s="1"/>
  <c r="F29" i="2"/>
  <c r="F28" i="2" s="1"/>
  <c r="G29" i="2"/>
  <c r="G28" i="2" s="1"/>
  <c r="H29" i="2"/>
  <c r="H28" i="2" s="1"/>
  <c r="J29" i="2"/>
  <c r="D30" i="2"/>
  <c r="I30" i="2" s="1"/>
  <c r="H30" i="2"/>
  <c r="J30" i="2"/>
  <c r="H31" i="2"/>
  <c r="J31" i="2"/>
  <c r="D32" i="2"/>
  <c r="I32" i="2"/>
  <c r="J32" i="2"/>
  <c r="R9" i="1"/>
  <c r="R10" i="1"/>
  <c r="R11" i="1"/>
  <c r="R12" i="1"/>
  <c r="R13" i="1"/>
  <c r="R8" i="1"/>
  <c r="Q9" i="1"/>
  <c r="Q10" i="1"/>
  <c r="Q11" i="1"/>
  <c r="Q12" i="1"/>
  <c r="Q13" i="1"/>
  <c r="Q8" i="1"/>
  <c r="O13" i="1"/>
  <c r="O12" i="1"/>
  <c r="O9" i="1"/>
  <c r="O8" i="1"/>
  <c r="O11" i="1"/>
  <c r="O10" i="1"/>
  <c r="G9" i="1"/>
  <c r="G8" i="1"/>
  <c r="F9" i="1"/>
  <c r="K9" i="1"/>
  <c r="K8" i="1"/>
  <c r="F13" i="1"/>
  <c r="F12" i="1"/>
  <c r="F11" i="1"/>
  <c r="F10" i="1"/>
  <c r="F8" i="1"/>
  <c r="I82" i="11" l="1"/>
  <c r="D81" i="11"/>
  <c r="I81" i="11" s="1"/>
  <c r="G8" i="11"/>
  <c r="G7" i="11" s="1"/>
  <c r="I100" i="11"/>
  <c r="D97" i="11"/>
  <c r="I97" i="11" s="1"/>
  <c r="H9" i="11"/>
  <c r="H8" i="11" s="1"/>
  <c r="H7" i="11" s="1"/>
  <c r="D93" i="11"/>
  <c r="I93" i="11" s="1"/>
  <c r="F8" i="11"/>
  <c r="F7" i="11" s="1"/>
  <c r="I87" i="11"/>
  <c r="D86" i="11"/>
  <c r="I86" i="11" s="1"/>
  <c r="I41" i="11"/>
  <c r="D40" i="11"/>
  <c r="J28" i="11"/>
  <c r="D22" i="11"/>
  <c r="I22" i="11" s="1"/>
  <c r="I25" i="11"/>
  <c r="D63" i="11"/>
  <c r="I63" i="11" s="1"/>
  <c r="E16" i="11"/>
  <c r="I16" i="11" s="1"/>
  <c r="D29" i="11"/>
  <c r="E19" i="11"/>
  <c r="E8" i="11"/>
  <c r="J20" i="11"/>
  <c r="J9" i="11"/>
  <c r="J12" i="11"/>
  <c r="E10" i="5"/>
  <c r="M11" i="5"/>
  <c r="M19" i="5"/>
  <c r="M14" i="5"/>
  <c r="K18" i="5"/>
  <c r="Q11" i="4"/>
  <c r="R11" i="4"/>
  <c r="H44" i="3"/>
  <c r="Q44" i="3" s="1"/>
  <c r="H27" i="3"/>
  <c r="Q27" i="3" s="1"/>
  <c r="H34" i="3"/>
  <c r="Q34" i="3" s="1"/>
  <c r="H58" i="3"/>
  <c r="H22" i="3"/>
  <c r="H53" i="3"/>
  <c r="Q53" i="3" s="1"/>
  <c r="H18" i="3"/>
  <c r="Q18" i="3" s="1"/>
  <c r="H12" i="3"/>
  <c r="H57" i="3"/>
  <c r="Q57" i="3" s="1"/>
  <c r="Q58" i="3"/>
  <c r="Q22" i="3"/>
  <c r="H21" i="3"/>
  <c r="Q21" i="3" s="1"/>
  <c r="H68" i="3"/>
  <c r="Q68" i="3" s="1"/>
  <c r="Q12" i="3"/>
  <c r="H11" i="3"/>
  <c r="H64" i="3"/>
  <c r="Q64" i="3" s="1"/>
  <c r="H9" i="2"/>
  <c r="H8" i="2" s="1"/>
  <c r="H7" i="2" s="1"/>
  <c r="J28" i="2"/>
  <c r="G8" i="2"/>
  <c r="G7" i="2" s="1"/>
  <c r="F8" i="2"/>
  <c r="F7" i="2" s="1"/>
  <c r="D22" i="2"/>
  <c r="I22" i="2" s="1"/>
  <c r="I25" i="2"/>
  <c r="J9" i="2"/>
  <c r="E16" i="2"/>
  <c r="I16" i="2" s="1"/>
  <c r="I20" i="2"/>
  <c r="J12" i="2"/>
  <c r="I9" i="2"/>
  <c r="D29" i="2"/>
  <c r="E19" i="2"/>
  <c r="I40" i="11" l="1"/>
  <c r="J8" i="11"/>
  <c r="E7" i="11"/>
  <c r="J19" i="11"/>
  <c r="I19" i="11"/>
  <c r="D28" i="11"/>
  <c r="I28" i="11" s="1"/>
  <c r="I29" i="11"/>
  <c r="D50" i="11"/>
  <c r="I50" i="11" s="1"/>
  <c r="L18" i="5"/>
  <c r="M18" i="5"/>
  <c r="K10" i="5"/>
  <c r="H52" i="3"/>
  <c r="Q52" i="3" s="1"/>
  <c r="Q11" i="3"/>
  <c r="H10" i="3"/>
  <c r="I19" i="2"/>
  <c r="J19" i="2"/>
  <c r="D28" i="2"/>
  <c r="I29" i="2"/>
  <c r="E8" i="2"/>
  <c r="D8" i="11" l="1"/>
  <c r="J7" i="11"/>
  <c r="D39" i="11"/>
  <c r="M10" i="5"/>
  <c r="L10" i="5"/>
  <c r="H9" i="3"/>
  <c r="Q9" i="3" s="1"/>
  <c r="Q10" i="3"/>
  <c r="E7" i="2"/>
  <c r="J8" i="2"/>
  <c r="I28" i="2"/>
  <c r="D8" i="2"/>
  <c r="D7" i="2" s="1"/>
  <c r="D38" i="11" l="1"/>
  <c r="I38" i="11" s="1"/>
  <c r="I39" i="11"/>
  <c r="D7" i="11"/>
  <c r="I7" i="11" s="1"/>
  <c r="I8" i="11"/>
  <c r="I8" i="2"/>
  <c r="I7" i="2"/>
  <c r="J7" i="2"/>
</calcChain>
</file>

<file path=xl/sharedStrings.xml><?xml version="1.0" encoding="utf-8"?>
<sst xmlns="http://schemas.openxmlformats.org/spreadsheetml/2006/main" count="1327" uniqueCount="309">
  <si>
    <t>GIMNAZIJA TITUŠA BREZOVAČKOG</t>
  </si>
  <si>
    <t>HABDELIĆEVA 1</t>
  </si>
  <si>
    <t>OIB: 65690492826</t>
  </si>
  <si>
    <t>VRSTA RASHODA / IZDATAKA</t>
  </si>
  <si>
    <t>PLAN 2023</t>
  </si>
  <si>
    <t>Ukupno ostvareno</t>
  </si>
  <si>
    <t>RAZLIKA DO PLANA</t>
  </si>
  <si>
    <t>1.</t>
  </si>
  <si>
    <t>2.</t>
  </si>
  <si>
    <t>4.</t>
  </si>
  <si>
    <t>5.</t>
  </si>
  <si>
    <t>6.</t>
  </si>
  <si>
    <t>7.(5+6)</t>
  </si>
  <si>
    <t>8.(4-7)</t>
  </si>
  <si>
    <t>SVEUKUPNO PRIHODI</t>
  </si>
  <si>
    <t>6</t>
  </si>
  <si>
    <t>Prihodi poslovanja</t>
  </si>
  <si>
    <t>9</t>
  </si>
  <si>
    <t>Vlastiti izvori</t>
  </si>
  <si>
    <t>SVEUKUPNO RASHODI</t>
  </si>
  <si>
    <t>3</t>
  </si>
  <si>
    <t>Rashodi poslovanja</t>
  </si>
  <si>
    <t>4</t>
  </si>
  <si>
    <t>Rashodi za nabavu nefinancijske imovine</t>
  </si>
  <si>
    <t>Ostvareno do 30.6.2022.</t>
  </si>
  <si>
    <t>Ostvareno do 30.6.2023.</t>
  </si>
  <si>
    <t>Indeks ostvarenja 2022 - 2023</t>
  </si>
  <si>
    <t>Indeks ostvarenja i plana za 2023</t>
  </si>
  <si>
    <t>Višak prihoda</t>
  </si>
  <si>
    <t>Prihodi od nadležnog proračuna za financirane rashoda za nabavu nefinancijske imovine</t>
  </si>
  <si>
    <t>Prihodi od nadležnog proračuna za financiranje rashoda poslovanja</t>
  </si>
  <si>
    <t>Prihodi iz nadležnog proračuna za financiranje redovne djelatnosti proračunskih korisnika</t>
  </si>
  <si>
    <t>Prihodi iz nadležnog proračuna i od HZZO-a temeljem ugovornih obveza</t>
  </si>
  <si>
    <t>Kapitalne donacije</t>
  </si>
  <si>
    <t>6632</t>
  </si>
  <si>
    <t>Tekuće donacije</t>
  </si>
  <si>
    <t>6631</t>
  </si>
  <si>
    <t>Donacije od pravnih i fizičkih osoba izvan općeg proračuna i povrat donacija po protestiranim jamstvima</t>
  </si>
  <si>
    <t>663</t>
  </si>
  <si>
    <t>Prihodi od pruženih usluga</t>
  </si>
  <si>
    <t>6615</t>
  </si>
  <si>
    <t>Prihodi od prodaje proizvoda i robe te pruženih usluga</t>
  </si>
  <si>
    <t>661</t>
  </si>
  <si>
    <t>Prihodi od prodaje proizvoda i robe te pruženih usluga, prihodi od donacija i povrati po protestira</t>
  </si>
  <si>
    <t>66</t>
  </si>
  <si>
    <t>Ostali nespomenuti prihodi</t>
  </si>
  <si>
    <t>6526</t>
  </si>
  <si>
    <t>Prihodi po posebnim propisima</t>
  </si>
  <si>
    <t>652</t>
  </si>
  <si>
    <t>Prihodi od upravnih i administrativnih pristojbi, pristojbi po posebnim propisima i naknada</t>
  </si>
  <si>
    <t>65</t>
  </si>
  <si>
    <t>Kamate na oročena sredstva i depozite po viđenju</t>
  </si>
  <si>
    <t>6413</t>
  </si>
  <si>
    <t>Prihodi od financijske imovine</t>
  </si>
  <si>
    <t>641</t>
  </si>
  <si>
    <t>Prihodi od imovine</t>
  </si>
  <si>
    <t>64</t>
  </si>
  <si>
    <t>Tekuće pomoći temeljem prijenosa EU sredstava</t>
  </si>
  <si>
    <t>6381</t>
  </si>
  <si>
    <t>Pomoći temeljem prijenosa EU sredstava</t>
  </si>
  <si>
    <t>638</t>
  </si>
  <si>
    <t>Tekuće pomoći proračunskim korisnicima iz proračuna koji im nije nadležan</t>
  </si>
  <si>
    <t>6361</t>
  </si>
  <si>
    <t>Pomoći proračunskim korisnicima iz proračuna koji im nije nadležan</t>
  </si>
  <si>
    <t>636</t>
  </si>
  <si>
    <t>Tekuće pomoći od izvanproračunskih korisnika</t>
  </si>
  <si>
    <t>6341</t>
  </si>
  <si>
    <t>Pomoći od izvanproračunskih korisnika</t>
  </si>
  <si>
    <t>634</t>
  </si>
  <si>
    <t>Pomoći iz inozemstva i od subjekata unutar općeg proračuna</t>
  </si>
  <si>
    <t>63</t>
  </si>
  <si>
    <t>Realizacija proračuna - prihodi prema ekonomskoj klasifikaciji</t>
  </si>
  <si>
    <t>VRSTA PRIHODA / PRIMITAKA</t>
  </si>
  <si>
    <t>Realizacija proračuna - sažetak</t>
  </si>
  <si>
    <t>Knjige</t>
  </si>
  <si>
    <t>4241</t>
  </si>
  <si>
    <t>Knjige, umjetnička djela i ostale izložbene vrijednosti</t>
  </si>
  <si>
    <t>424</t>
  </si>
  <si>
    <t>Uređaji, strojevi i oprema za ostale namjene</t>
  </si>
  <si>
    <t>4227</t>
  </si>
  <si>
    <t>Sportska i glazbena oprema</t>
  </si>
  <si>
    <t>4226</t>
  </si>
  <si>
    <t>Oprema za održavanje i zaštitu</t>
  </si>
  <si>
    <t>4223</t>
  </si>
  <si>
    <t>Uredska oprema i namještaj</t>
  </si>
  <si>
    <t>4221</t>
  </si>
  <si>
    <t>Postrojenja i oprema</t>
  </si>
  <si>
    <t>422</t>
  </si>
  <si>
    <t>Poslovni objekti</t>
  </si>
  <si>
    <t>4212</t>
  </si>
  <si>
    <t>Građevinski objekti</t>
  </si>
  <si>
    <t>421</t>
  </si>
  <si>
    <t>Rashodi za nabavu proizvedene dugotrajne imovine</t>
  </si>
  <si>
    <t>42</t>
  </si>
  <si>
    <t>Licence</t>
  </si>
  <si>
    <t>4123</t>
  </si>
  <si>
    <t>Nematerijalna imovina</t>
  </si>
  <si>
    <t>412</t>
  </si>
  <si>
    <t>Rashodi za nabavu neproizvedene dugotrajne imovine</t>
  </si>
  <si>
    <t>41</t>
  </si>
  <si>
    <t>Tekuće donacije u naravi</t>
  </si>
  <si>
    <t>3812</t>
  </si>
  <si>
    <t>381</t>
  </si>
  <si>
    <t>Ostali rashodi</t>
  </si>
  <si>
    <t>38</t>
  </si>
  <si>
    <t>Naknade građanima i kućanstvima u naravi</t>
  </si>
  <si>
    <t>3722</t>
  </si>
  <si>
    <t>Naknade građanima i kućanstvima u novcu</t>
  </si>
  <si>
    <t>3721</t>
  </si>
  <si>
    <t>Ostale naknade građanima i kućanstvima iz proračuna</t>
  </si>
  <si>
    <t>372</t>
  </si>
  <si>
    <t>Naknade građanima i kućanstvima na temelju osiguranja i druge naknade</t>
  </si>
  <si>
    <t>37</t>
  </si>
  <si>
    <t>Ostali nespomenuti financijski rashodi</t>
  </si>
  <si>
    <t>3434</t>
  </si>
  <si>
    <t>Zatezne kamate</t>
  </si>
  <si>
    <t>3433</t>
  </si>
  <si>
    <t>Bankarske usluge i usluge platnog prometa</t>
  </si>
  <si>
    <t>3431</t>
  </si>
  <si>
    <t>Ostali financijski rashodi</t>
  </si>
  <si>
    <t>343</t>
  </si>
  <si>
    <t>Financijski rashodi</t>
  </si>
  <si>
    <t>34</t>
  </si>
  <si>
    <t>Ostali nespomenuti rashodi poslovanja</t>
  </si>
  <si>
    <t>3299</t>
  </si>
  <si>
    <t>Troškovi sudskih postupaka</t>
  </si>
  <si>
    <t>3296</t>
  </si>
  <si>
    <t>Pristojbe i naknade</t>
  </si>
  <si>
    <t>3295</t>
  </si>
  <si>
    <t>Članarine i norme</t>
  </si>
  <si>
    <t>3294</t>
  </si>
  <si>
    <t>Reprezentacija</t>
  </si>
  <si>
    <t>3293</t>
  </si>
  <si>
    <t>Premije osiguranja</t>
  </si>
  <si>
    <t>3292</t>
  </si>
  <si>
    <t>Naknade za rad predstavničkih i izvršnih tijela, povjerenstava i slično</t>
  </si>
  <si>
    <t>3291</t>
  </si>
  <si>
    <t>329</t>
  </si>
  <si>
    <t>Ostale usluge</t>
  </si>
  <si>
    <t>3239</t>
  </si>
  <si>
    <t>Računalne usluge</t>
  </si>
  <si>
    <t>3238</t>
  </si>
  <si>
    <t>Intelektualne i osobne usluge</t>
  </si>
  <si>
    <t>3237</t>
  </si>
  <si>
    <t>Zdravstvene i veterinarske usluge</t>
  </si>
  <si>
    <t>3236</t>
  </si>
  <si>
    <t>Zakupnine i najamnine</t>
  </si>
  <si>
    <t>3235</t>
  </si>
  <si>
    <t>Komunalne usluge</t>
  </si>
  <si>
    <t>3234</t>
  </si>
  <si>
    <t>Usluge promidžbe i informiranja</t>
  </si>
  <si>
    <t>3233</t>
  </si>
  <si>
    <t>Usluge tekućeg i investicijskog održavanja</t>
  </si>
  <si>
    <t>3232</t>
  </si>
  <si>
    <t>Usluge telefona, pošte i prijevoza</t>
  </si>
  <si>
    <t>3231</t>
  </si>
  <si>
    <t>Rashodi za usluge</t>
  </si>
  <si>
    <t>323</t>
  </si>
  <si>
    <t>Službena, radna i zaštitna odjeća i obuća</t>
  </si>
  <si>
    <t>3227</t>
  </si>
  <si>
    <t>Sitni inventar i auto gume</t>
  </si>
  <si>
    <t>3225</t>
  </si>
  <si>
    <t>Materijal i dijelovi za tekuće i investicijsko održavanje</t>
  </si>
  <si>
    <t>3224</t>
  </si>
  <si>
    <t>Energija</t>
  </si>
  <si>
    <t>3223</t>
  </si>
  <si>
    <t>Materijal i sirovine</t>
  </si>
  <si>
    <t>3222</t>
  </si>
  <si>
    <t>Uredski materijal i ostali materijalni rashodi</t>
  </si>
  <si>
    <t>3221</t>
  </si>
  <si>
    <t>Rashodi za materijal i energiju</t>
  </si>
  <si>
    <t>322</t>
  </si>
  <si>
    <t>Ostale naknade troškova zaposlenima</t>
  </si>
  <si>
    <t>3214</t>
  </si>
  <si>
    <t>Stručno usavršavanje zaposlenika</t>
  </si>
  <si>
    <t>3213</t>
  </si>
  <si>
    <t>Naknade za prijevoz, za rad na terenu i odvojeni život</t>
  </si>
  <si>
    <t>3212</t>
  </si>
  <si>
    <t>Službena putovanja</t>
  </si>
  <si>
    <t>3211</t>
  </si>
  <si>
    <t>Naknade troškova zaposlenima</t>
  </si>
  <si>
    <t>321</t>
  </si>
  <si>
    <t>Materijalni rashodi</t>
  </si>
  <si>
    <t>32</t>
  </si>
  <si>
    <t>Doprinosi za obvezno osiguranje u slučaju nezaposlenosti</t>
  </si>
  <si>
    <t>Doprinosi za obvezno zdravstveno osiguranje</t>
  </si>
  <si>
    <t>3132</t>
  </si>
  <si>
    <t>Doprinosi na plaće</t>
  </si>
  <si>
    <t>313</t>
  </si>
  <si>
    <t>Ostali rashodi za zaposlene</t>
  </si>
  <si>
    <t>3121</t>
  </si>
  <si>
    <t>312</t>
  </si>
  <si>
    <t>Plaće za posebne uvjete rada</t>
  </si>
  <si>
    <t>3114</t>
  </si>
  <si>
    <t>Plaće za prekovremeni rad</t>
  </si>
  <si>
    <t>3113</t>
  </si>
  <si>
    <t>Plaće za redovan rad</t>
  </si>
  <si>
    <t>3111</t>
  </si>
  <si>
    <t>Plaće (Bruto)</t>
  </si>
  <si>
    <t>311</t>
  </si>
  <si>
    <t>Rashodi za zaposlene</t>
  </si>
  <si>
    <t>31</t>
  </si>
  <si>
    <t>Realizacija proračuna - rashodi prema ekonomskoj klasifikaciji</t>
  </si>
  <si>
    <t>Izvor 6.1. DONACIJE</t>
  </si>
  <si>
    <t>Izvor 6. DONACIJE</t>
  </si>
  <si>
    <t>Izvor 5.6. POMOĆI TEMELJEM PRIJENOSA EU SREDSTAVA</t>
  </si>
  <si>
    <t>Izvor 5.5. POMOĆI OD IZVANPRORAČUNSKIH KORISNIKA</t>
  </si>
  <si>
    <t>Izvor 5.2. POMOĆI IZ DRUGIH PRORAČUNA</t>
  </si>
  <si>
    <t>Izvor 5. POMOĆI</t>
  </si>
  <si>
    <t>Izvor 4.3. OSTALI PRIHODI ZA POSEBNE NAMJENE</t>
  </si>
  <si>
    <t>Izvor 4. PRIHODI ZA POSEBNE NAMJENE</t>
  </si>
  <si>
    <t>Izvor 3.1. VLASTITI PRIHODI</t>
  </si>
  <si>
    <t>Izvor 3. VLASTITI PRIHODI</t>
  </si>
  <si>
    <t>Izvor 1.2. OPĆI PRIHODI - DECENTRALIZIRANA SREDSTVA</t>
  </si>
  <si>
    <t>Izvor 1.1. OPĆI PRIHODI</t>
  </si>
  <si>
    <t>Izvor 1. OPĆI PRIHODI</t>
  </si>
  <si>
    <t>OSTVARENO 30.6.2023.</t>
  </si>
  <si>
    <t>OSTVARENO 30.6.2022.</t>
  </si>
  <si>
    <t>PLANIRANO 2023.</t>
  </si>
  <si>
    <t>POZICIJA</t>
  </si>
  <si>
    <t>KONTO</t>
  </si>
  <si>
    <t>1.1.2023. - 30.6.2023.</t>
  </si>
  <si>
    <t>REALIZACIJA PRORAČUNA</t>
  </si>
  <si>
    <t>Izvor 1.2. OPĆI PRIHODI I PRIMICI-DECENTRALIZIRANA SREDSTVA</t>
  </si>
  <si>
    <t>Izvor 1.1. OPĆI PRIHODI I PRIMICI</t>
  </si>
  <si>
    <t>Izvor 1. OPĆI PRIHODI I PRIMICI</t>
  </si>
  <si>
    <t>OSTVARENO DO 30.6.2023.</t>
  </si>
  <si>
    <t>OSTVARENO DO 30.6.2022.</t>
  </si>
  <si>
    <t>PLANIRANO 2023</t>
  </si>
  <si>
    <t>Od 01.01.2023 do 31.12.2023</t>
  </si>
  <si>
    <t>Ostvareno do ovih zahtjeva</t>
  </si>
  <si>
    <t>Zahtjev / RVI</t>
  </si>
  <si>
    <t>Razdjel 009</t>
  </si>
  <si>
    <t>GRADSKI URED ZA OBRAZOVANJE, SPORT I MLADE</t>
  </si>
  <si>
    <t>Glava 009       04</t>
  </si>
  <si>
    <t>USTANOVE U SREDNJOŠKOLSKOM OBRAZOVANJU</t>
  </si>
  <si>
    <t>Proračunski korisnik 009       04        16385</t>
  </si>
  <si>
    <t>Izvor 1.</t>
  </si>
  <si>
    <t>OPĆI PRIHODI I PRIMICI</t>
  </si>
  <si>
    <t>Izvor 1.1.</t>
  </si>
  <si>
    <t>Program 4109</t>
  </si>
  <si>
    <t>DJELATNOST USTANOVA SREDNJEG ŠKOLSTVA I UČENIČKIH DOMOVA</t>
  </si>
  <si>
    <t>Aktivnost A410901</t>
  </si>
  <si>
    <t>REDOVNA DJELATNOST PRORAČUNSKIH KORISNIKA</t>
  </si>
  <si>
    <t>Aktivnost A410902</t>
  </si>
  <si>
    <t>IZVANNASTAVNE I OSTALE AKTIVNOSTI</t>
  </si>
  <si>
    <t>Aktivnost A410905</t>
  </si>
  <si>
    <t>NABAVA UDŽBENIKA</t>
  </si>
  <si>
    <t>Aktivnost A410907</t>
  </si>
  <si>
    <t>GRAĐANSKI ODGOJ I ŠKOLA I ZAJEDNICA</t>
  </si>
  <si>
    <t>Aktivnost K410901</t>
  </si>
  <si>
    <t>ODRŽAVANJE I OPREMANJE USTANOVA SREDNJEG ŠKOLSTVA I UČENIČKIH DOMOVA</t>
  </si>
  <si>
    <t>Aktivnost T410902</t>
  </si>
  <si>
    <t>SUFINANCIRANJE PROJEKATA PRIJAVLJENIH NA NATJEČAJE EUROPSKIH FONDOVA ILI PARTNERSTVA ZA EU FONDOVE</t>
  </si>
  <si>
    <t>Aktivnost T410905</t>
  </si>
  <si>
    <t>BESPLATNE MENSTRUALNE POTREPŠTINE</t>
  </si>
  <si>
    <t>Izvor 1.2.</t>
  </si>
  <si>
    <t>OPĆI PRIHODI I PRIMICI-DECENTRALIZIRANA SREDSTVA</t>
  </si>
  <si>
    <t>Izvor 3.</t>
  </si>
  <si>
    <t>VLASTITI PRIHODI</t>
  </si>
  <si>
    <t>Izvor 3.1.</t>
  </si>
  <si>
    <t>Izvor 4.</t>
  </si>
  <si>
    <t>PRIHODI ZA POSEBNE NAMJENE</t>
  </si>
  <si>
    <t>Izvor 4.3.</t>
  </si>
  <si>
    <t>OSTALI PRIHODI ZA POSEBNE NAMJENE</t>
  </si>
  <si>
    <t>Izvor 5.</t>
  </si>
  <si>
    <t>POMOĆI</t>
  </si>
  <si>
    <t>Izvor 5.2.</t>
  </si>
  <si>
    <t>POMOĆI IZ DRUGIH PRORAČUNA</t>
  </si>
  <si>
    <t>Izvor 5.5.</t>
  </si>
  <si>
    <t>POMOĆI OD IZVANPRORAČUNSKIH KORISNIKA</t>
  </si>
  <si>
    <t>Izvor 5.6.</t>
  </si>
  <si>
    <t>POMOĆI TEMELJEM PRIJENOSA EU SREDSTAVA</t>
  </si>
  <si>
    <t>Izvor 6.</t>
  </si>
  <si>
    <t>DONACIJE</t>
  </si>
  <si>
    <t>Izvor 6.1.</t>
  </si>
  <si>
    <t>Realizacija proračuna prema programskoj klasifikaciji</t>
  </si>
  <si>
    <t>Nerealizirane nabave namještaja i opreme koje će se realizirati nakon useljenja u obnovljenu zgradu škole</t>
  </si>
  <si>
    <t>za predmet Škola i zajednica</t>
  </si>
  <si>
    <t>Kotizacija za Svjetsko školsko prvenstvo u odbojci na pijesku u Izraelu i nabava nastavnih materijala</t>
  </si>
  <si>
    <t>Sredstva za zaostale sjednice školskog odbora iz 2022. godine</t>
  </si>
  <si>
    <t>i arheoloških radova u atriju škole</t>
  </si>
  <si>
    <t>Iznosi za usluge revizije izvedbenog projekta konstrukcije zgrade škole</t>
  </si>
  <si>
    <t>Povećana potreba za nabavom higijenskih potrepština  i sredstava za čišćenje od planirane</t>
  </si>
  <si>
    <t>Veći broj izvanučioničkih nastava i putovanje na Svjetsko školsko prvenstvo u odbojci na pijesku u Izrael</t>
  </si>
  <si>
    <t>još nerealiziranih nabava namještaja i opreme koje će se realizirati nakon useljenja u obnovljenu zgradu škole</t>
  </si>
  <si>
    <t xml:space="preserve">Ukupna realizacija planiranih sredstava je na približno trećini planiranih sredstava, prvenstveno zbog </t>
  </si>
  <si>
    <t xml:space="preserve">sredstva za troškove energenata koja se u dogovoru s Gradskim uredom za obrazovanje, sport i mlade prenose u narednu godinu </t>
  </si>
  <si>
    <t>od projekta Erasmus +, sredstva za radionice talijanskog jezika, sredstva za plaću pripravnice putem HZZ mjere,</t>
  </si>
  <si>
    <t>U planiranom višku prihoda su sredstva od donacije Kineskog velepostanstva u RH, druga isplata sredstava</t>
  </si>
  <si>
    <t>Veći broj izvanučioničkih nastava i uplaćena sredstva za radionice talijanskog jezika</t>
  </si>
  <si>
    <t>Realizacija sredstava za plaće iz državnog proračuna je na malo manje od pola planiranog iznosa</t>
  </si>
  <si>
    <t>još nerealiziranih prihoda za nabavu namještaja i opreme koje će se realizirati nakon useljenja u obnovljenu zgradu škole</t>
  </si>
  <si>
    <t>fizičkih i pravnih osoba</t>
  </si>
  <si>
    <t>gdje je nastupila školska ekipa i svi troškovi su financirani putem donacija</t>
  </si>
  <si>
    <t>Sredstva koja prikupljena za Svjetsko školsko prvenstvo u odbojci na pijesku u Izraelu</t>
  </si>
  <si>
    <t>koja će biti utrošena u drugoj polovici godine</t>
  </si>
  <si>
    <t>Sredstva od druge isplate projekta Erasmus + Connecting through heritage</t>
  </si>
  <si>
    <t>da su sredstva za isplatu plaće i materijalnih prava ostala dijelomično realizirana</t>
  </si>
  <si>
    <t>Tijekom travnja 2023. godine polaznica mjere pripravništa je otišla na rodiljni dopust tako</t>
  </si>
  <si>
    <t>Realizirano je malo više od pola planiranih sredstava za izvanučioničku nastavu i radionice talijanskog jezika</t>
  </si>
  <si>
    <t>U zadnjem kvartalu očekuju se prihodi od najma prostora nakon povratka u zgradu škole.</t>
  </si>
  <si>
    <t>Razina utrošenih decentraliziranih sredstava je na približno pola planiranih sredstava</t>
  </si>
  <si>
    <t>Sredstva za naknadu stručnjaku za tehničku podršku</t>
  </si>
  <si>
    <t xml:space="preserve">Nakon nabave namještaja i opreme ostvarit će se realizacija planiranih sredstava </t>
  </si>
  <si>
    <t>Funkcijska 092 Srednjoškolsko  obrazovanje</t>
  </si>
  <si>
    <t>Funkcijska 09 Obrazovanje</t>
  </si>
  <si>
    <t>Od 01.01.2023 do 30.06.2023.</t>
  </si>
  <si>
    <t>Realizacija proračuna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</si>
</sst>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83" formatCode="[$-1041A]d\.m\.yyyy\."/>
    <numFmt numFmtId="184" formatCode="[$-1041A]h:mm"/>
    <numFmt numFmtId="185" formatCode="[$-1041A]#,##0.00;\-\ #,##0.00"/>
    <numFmt numFmtId="188" formatCode="_-* #,##0.00\ [$€-1]_-;\-* #,##0.00\ [$€-1]_-;_-* &quot;-&quot;??\ [$€-1]_-;_-@_-"/>
  </numFmts>
  <fonts count="30" x14ac:knownFonts="1">
    <font>
      <sz val="10"/>
      <name val="Arial"/>
    </font>
    <font>
      <sz val="10"/>
      <color indexed="8"/>
      <name val="Arial"/>
      <family val="2"/>
    </font>
    <font>
      <b/>
      <sz val="11.95"/>
      <color indexed="8"/>
      <name val="Arial"/>
      <family val="2"/>
    </font>
    <font>
      <sz val="9"/>
      <color indexed="10"/>
      <name val="Tahoma"/>
      <family val="2"/>
    </font>
    <font>
      <sz val="8"/>
      <color indexed="10"/>
      <name val="Arial"/>
      <family val="2"/>
    </font>
    <font>
      <sz val="8"/>
      <color indexed="12"/>
      <name val="Arial"/>
      <family val="2"/>
    </font>
    <font>
      <sz val="8"/>
      <color indexed="13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sz val="10"/>
      <color theme="1"/>
      <name val="Arial"/>
      <family val="2"/>
    </font>
    <font>
      <sz val="8"/>
      <name val="Arial"/>
      <family val="2"/>
    </font>
    <font>
      <sz val="9"/>
      <name val="Arial"/>
      <family val="2"/>
    </font>
    <font>
      <sz val="9"/>
      <color indexed="13"/>
      <name val="Arial"/>
      <family val="2"/>
    </font>
    <font>
      <sz val="8"/>
      <color indexed="13"/>
      <name val="Arial"/>
      <charset val="238"/>
    </font>
    <font>
      <b/>
      <sz val="10"/>
      <color theme="1"/>
      <name val="Arial"/>
      <family val="2"/>
    </font>
    <font>
      <sz val="8"/>
      <color indexed="12"/>
      <name val="Arial"/>
      <charset val="238"/>
    </font>
    <font>
      <sz val="9"/>
      <color indexed="10"/>
      <name val="Tahoma"/>
      <charset val="238"/>
    </font>
    <font>
      <sz val="8"/>
      <color indexed="10"/>
      <name val="Arial"/>
      <charset val="238"/>
    </font>
    <font>
      <sz val="10"/>
      <color indexed="8"/>
      <name val="Arial"/>
      <charset val="238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0"/>
      <color indexed="8"/>
      <name val="Arial"/>
      <family val="2"/>
    </font>
    <font>
      <sz val="10"/>
      <color rgb="FF000000"/>
      <name val="Arial"/>
      <family val="2"/>
    </font>
    <font>
      <b/>
      <sz val="11.95"/>
      <color rgb="FF000000"/>
      <name val="Arial"/>
      <family val="2"/>
    </font>
    <font>
      <sz val="9"/>
      <color rgb="FFFFFFFF"/>
      <name val="Tahoma"/>
      <family val="2"/>
    </font>
    <font>
      <sz val="8"/>
      <color rgb="FFFFFFFF"/>
      <name val="Arial"/>
      <family val="2"/>
    </font>
    <font>
      <sz val="10"/>
      <color rgb="FFFFFFFF"/>
      <name val="Arial"/>
      <family val="2"/>
    </font>
    <font>
      <sz val="8"/>
      <color rgb="FF000000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indexed="11"/>
        <bgColor indexed="0"/>
      </patternFill>
    </fill>
    <fill>
      <patternFill patternType="solid">
        <fgColor indexed="12"/>
        <bgColor indexed="0"/>
      </patternFill>
    </fill>
    <fill>
      <patternFill patternType="solid">
        <fgColor rgb="FF00B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366FF"/>
        <bgColor rgb="FF000000"/>
      </patternFill>
    </fill>
    <fill>
      <patternFill patternType="solid">
        <fgColor rgb="FF00B050"/>
        <bgColor rgb="FF000000"/>
      </patternFill>
    </fill>
    <fill>
      <patternFill patternType="solid">
        <fgColor rgb="FF757575"/>
        <bgColor rgb="FF000000"/>
      </patternFill>
    </fill>
    <fill>
      <patternFill patternType="solid">
        <fgColor rgb="FFA6A6A6"/>
        <bgColor rgb="FF000000"/>
      </patternFill>
    </fill>
    <fill>
      <patternFill patternType="solid">
        <fgColor rgb="FF000080"/>
        <bgColor rgb="FF000000"/>
      </patternFill>
    </fill>
    <fill>
      <patternFill patternType="solid">
        <fgColor rgb="FF0000CE"/>
        <bgColor rgb="FF000000"/>
      </patternFill>
    </fill>
    <fill>
      <patternFill patternType="solid">
        <fgColor rgb="FF3535FF"/>
        <bgColor rgb="FF000000"/>
      </patternFill>
    </fill>
    <fill>
      <patternFill patternType="solid">
        <fgColor rgb="FFFEDE01"/>
        <bgColor rgb="FF000000"/>
      </patternFill>
    </fill>
    <fill>
      <patternFill patternType="solid">
        <fgColor rgb="FFFFE699"/>
        <bgColor rgb="FF000000"/>
      </patternFill>
    </fill>
    <fill>
      <patternFill patternType="solid">
        <fgColor rgb="FFFFEE75"/>
        <bgColor rgb="FF000000"/>
      </patternFill>
    </fill>
    <fill>
      <patternFill patternType="solid">
        <fgColor rgb="FFC1C1FF"/>
        <bgColor rgb="FF000000"/>
      </patternFill>
    </fill>
    <fill>
      <patternFill patternType="solid">
        <fgColor rgb="FFE1E1FF"/>
        <bgColor rgb="FF000000"/>
      </patternFill>
    </fill>
    <fill>
      <patternFill patternType="solid">
        <fgColor rgb="FFFFFFFF"/>
        <bgColor rgb="FF000000"/>
      </patternFill>
    </fill>
  </fills>
  <borders count="10">
    <border>
      <left/>
      <right/>
      <top/>
      <bottom/>
      <diagonal/>
    </border>
    <border>
      <left/>
      <right/>
      <top style="thick">
        <color indexed="8"/>
      </top>
      <bottom style="thick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8"/>
      </top>
      <bottom style="thin">
        <color indexed="64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05">
    <xf numFmtId="0" fontId="0" fillId="0" borderId="0" xfId="0"/>
    <xf numFmtId="0" fontId="3" fillId="2" borderId="1" xfId="0" applyFont="1" applyFill="1" applyBorder="1" applyAlignment="1" applyProtection="1">
      <alignment horizontal="center" vertical="center" wrapText="1" readingOrder="1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0" xfId="0" applyFont="1" applyFill="1" applyAlignment="1" applyProtection="1">
      <alignment vertical="center" wrapText="1" readingOrder="1"/>
      <protection locked="0"/>
    </xf>
    <xf numFmtId="188" fontId="5" fillId="3" borderId="0" xfId="0" applyNumberFormat="1" applyFont="1" applyFill="1" applyAlignment="1" applyProtection="1">
      <alignment horizontal="right" vertical="center" wrapText="1" readingOrder="1"/>
      <protection locked="0"/>
    </xf>
    <xf numFmtId="188" fontId="6" fillId="4" borderId="2" xfId="0" applyNumberFormat="1" applyFont="1" applyFill="1" applyBorder="1" applyAlignment="1" applyProtection="1">
      <alignment horizontal="right" vertical="center" wrapText="1" readingOrder="1"/>
      <protection locked="0"/>
    </xf>
    <xf numFmtId="188" fontId="5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4" borderId="2" xfId="0" applyFont="1" applyFill="1" applyBorder="1" applyAlignment="1" applyProtection="1">
      <alignment horizontal="center" vertical="center" wrapText="1" readingOrder="1"/>
      <protection locked="0"/>
    </xf>
    <xf numFmtId="0" fontId="5" fillId="3" borderId="2" xfId="0" applyFont="1" applyFill="1" applyBorder="1" applyAlignment="1" applyProtection="1">
      <alignment horizontal="center" vertical="center" wrapText="1" readingOrder="1"/>
      <protection locked="0"/>
    </xf>
    <xf numFmtId="188" fontId="6" fillId="4" borderId="3" xfId="0" applyNumberFormat="1" applyFont="1" applyFill="1" applyBorder="1" applyAlignment="1" applyProtection="1">
      <alignment horizontal="right" vertical="center" wrapText="1" readingOrder="1"/>
      <protection locked="0"/>
    </xf>
    <xf numFmtId="0" fontId="0" fillId="0" borderId="1" xfId="0" applyBorder="1" applyAlignment="1" applyProtection="1">
      <alignment vertical="top" wrapText="1"/>
      <protection locked="0"/>
    </xf>
    <xf numFmtId="2" fontId="0" fillId="0" borderId="2" xfId="0" applyNumberFormat="1" applyBorder="1"/>
    <xf numFmtId="0" fontId="9" fillId="5" borderId="2" xfId="0" applyFont="1" applyFill="1" applyBorder="1" applyAlignment="1">
      <alignment horizontal="center" wrapText="1"/>
    </xf>
    <xf numFmtId="0" fontId="9" fillId="5" borderId="2" xfId="0" applyFont="1" applyFill="1" applyBorder="1" applyAlignment="1">
      <alignment wrapText="1"/>
    </xf>
    <xf numFmtId="0" fontId="9" fillId="5" borderId="2" xfId="0" applyFont="1" applyFill="1" applyBorder="1"/>
    <xf numFmtId="2" fontId="8" fillId="6" borderId="2" xfId="0" applyNumberFormat="1" applyFont="1" applyFill="1" applyBorder="1"/>
    <xf numFmtId="0" fontId="3" fillId="2" borderId="1" xfId="0" applyFont="1" applyFill="1" applyBorder="1" applyAlignment="1" applyProtection="1">
      <alignment horizontal="center" vertical="center" wrapText="1" readingOrder="1"/>
      <protection locked="0"/>
    </xf>
    <xf numFmtId="0" fontId="0" fillId="0" borderId="1" xfId="0" applyBorder="1" applyAlignment="1" applyProtection="1">
      <alignment vertical="top" wrapText="1"/>
      <protection locked="0"/>
    </xf>
    <xf numFmtId="0" fontId="1" fillId="0" borderId="0" xfId="0" applyFont="1" applyAlignment="1" applyProtection="1">
      <alignment vertical="top" wrapText="1" readingOrder="1"/>
      <protection locked="0"/>
    </xf>
    <xf numFmtId="0" fontId="0" fillId="0" borderId="0" xfId="0"/>
    <xf numFmtId="0" fontId="6" fillId="4" borderId="2" xfId="0" applyFont="1" applyFill="1" applyBorder="1" applyAlignment="1" applyProtection="1">
      <alignment vertical="center" wrapText="1" readingOrder="1"/>
      <protection locked="0"/>
    </xf>
    <xf numFmtId="0" fontId="0" fillId="0" borderId="2" xfId="0" applyBorder="1"/>
    <xf numFmtId="188" fontId="6" fillId="4" borderId="2" xfId="0" applyNumberFormat="1" applyFont="1" applyFill="1" applyBorder="1" applyAlignment="1" applyProtection="1">
      <alignment horizontal="right" vertical="center" wrapText="1" readingOrder="1"/>
      <protection locked="0"/>
    </xf>
    <xf numFmtId="188" fontId="0" fillId="0" borderId="2" xfId="0" applyNumberFormat="1" applyBorder="1"/>
    <xf numFmtId="0" fontId="5" fillId="3" borderId="0" xfId="0" applyFont="1" applyFill="1" applyAlignment="1" applyProtection="1">
      <alignment vertical="center" wrapText="1" readingOrder="1"/>
      <protection locked="0"/>
    </xf>
    <xf numFmtId="188" fontId="5" fillId="3" borderId="0" xfId="0" applyNumberFormat="1" applyFont="1" applyFill="1" applyAlignment="1" applyProtection="1">
      <alignment horizontal="right" vertical="center" wrapText="1" readingOrder="1"/>
      <protection locked="0"/>
    </xf>
    <xf numFmtId="188" fontId="0" fillId="0" borderId="0" xfId="0" applyNumberFormat="1"/>
    <xf numFmtId="188" fontId="0" fillId="0" borderId="3" xfId="0" applyNumberFormat="1" applyBorder="1"/>
    <xf numFmtId="0" fontId="2" fillId="0" borderId="0" xfId="0" applyFont="1" applyAlignment="1" applyProtection="1">
      <alignment horizontal="center" vertical="top" wrapText="1" readingOrder="1"/>
      <protection locked="0"/>
    </xf>
    <xf numFmtId="188" fontId="6" fillId="4" borderId="3" xfId="0" applyNumberFormat="1" applyFont="1" applyFill="1" applyBorder="1" applyAlignment="1" applyProtection="1">
      <alignment horizontal="right" vertical="center" wrapText="1" readingOrder="1"/>
      <protection locked="0"/>
    </xf>
    <xf numFmtId="188" fontId="6" fillId="4" borderId="4" xfId="0" applyNumberFormat="1" applyFont="1" applyFill="1" applyBorder="1" applyAlignment="1" applyProtection="1">
      <alignment horizontal="right" vertical="center" wrapText="1" readingOrder="1"/>
      <protection locked="0"/>
    </xf>
    <xf numFmtId="0" fontId="5" fillId="3" borderId="2" xfId="0" applyFont="1" applyFill="1" applyBorder="1" applyAlignment="1" applyProtection="1">
      <alignment vertical="center" wrapText="1" readingOrder="1"/>
      <protection locked="0"/>
    </xf>
    <xf numFmtId="188" fontId="5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2" fontId="10" fillId="0" borderId="2" xfId="0" applyNumberFormat="1" applyFont="1" applyBorder="1"/>
    <xf numFmtId="2" fontId="10" fillId="0" borderId="2" xfId="0" applyNumberFormat="1" applyFont="1" applyBorder="1" applyAlignment="1" applyProtection="1">
      <alignment horizontal="right" vertical="center" wrapText="1" readingOrder="1"/>
      <protection locked="0"/>
    </xf>
    <xf numFmtId="188" fontId="11" fillId="0" borderId="3" xfId="0" applyNumberFormat="1" applyFont="1" applyBorder="1" applyAlignment="1">
      <alignment horizontal="right"/>
    </xf>
    <xf numFmtId="188" fontId="11" fillId="0" borderId="2" xfId="0" applyNumberFormat="1" applyFont="1" applyBorder="1" applyAlignment="1">
      <alignment horizontal="right"/>
    </xf>
    <xf numFmtId="0" fontId="12" fillId="0" borderId="5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0" fontId="11" fillId="0" borderId="2" xfId="0" applyFont="1" applyBorder="1" applyAlignment="1">
      <alignment horizontal="left"/>
    </xf>
    <xf numFmtId="0" fontId="12" fillId="0" borderId="2" xfId="0" applyFont="1" applyBorder="1"/>
    <xf numFmtId="0" fontId="13" fillId="4" borderId="2" xfId="0" applyFont="1" applyFill="1" applyBorder="1" applyAlignment="1" applyProtection="1">
      <alignment vertical="center" readingOrder="1"/>
      <protection locked="0"/>
    </xf>
    <xf numFmtId="0" fontId="14" fillId="4" borderId="2" xfId="0" applyFont="1" applyFill="1" applyBorder="1" applyAlignment="1" applyProtection="1">
      <alignment horizontal="left" vertical="center" wrapText="1" readingOrder="1"/>
      <protection locked="0"/>
    </xf>
    <xf numFmtId="0" fontId="13" fillId="4" borderId="5" xfId="0" applyFont="1" applyFill="1" applyBorder="1" applyAlignment="1" applyProtection="1">
      <alignment vertical="center" readingOrder="1"/>
      <protection locked="0"/>
    </xf>
    <xf numFmtId="0" fontId="13" fillId="4" borderId="3" xfId="0" applyFont="1" applyFill="1" applyBorder="1" applyAlignment="1" applyProtection="1">
      <alignment vertical="center" readingOrder="1"/>
      <protection locked="0"/>
    </xf>
    <xf numFmtId="0" fontId="14" fillId="4" borderId="2" xfId="0" applyFont="1" applyFill="1" applyBorder="1" applyAlignment="1" applyProtection="1">
      <alignment vertical="center" wrapText="1" readingOrder="1"/>
      <protection locked="0"/>
    </xf>
    <xf numFmtId="2" fontId="15" fillId="6" borderId="2" xfId="0" applyNumberFormat="1" applyFont="1" applyFill="1" applyBorder="1"/>
    <xf numFmtId="2" fontId="15" fillId="6" borderId="2" xfId="0" applyNumberFormat="1" applyFont="1" applyFill="1" applyBorder="1" applyAlignment="1" applyProtection="1">
      <alignment horizontal="right" vertical="center" wrapText="1" readingOrder="1"/>
      <protection locked="0"/>
    </xf>
    <xf numFmtId="0" fontId="16" fillId="3" borderId="6" xfId="0" applyFont="1" applyFill="1" applyBorder="1" applyAlignment="1" applyProtection="1">
      <alignment vertical="center" wrapText="1" readingOrder="1"/>
      <protection locked="0"/>
    </xf>
    <xf numFmtId="0" fontId="16" fillId="3" borderId="0" xfId="0" applyFont="1" applyFill="1" applyAlignment="1" applyProtection="1">
      <alignment vertical="center" wrapText="1" readingOrder="1"/>
      <protection locked="0"/>
    </xf>
    <xf numFmtId="0" fontId="17" fillId="2" borderId="1" xfId="0" applyFont="1" applyFill="1" applyBorder="1" applyAlignment="1" applyProtection="1">
      <alignment horizontal="center" vertical="center" wrapText="1" readingOrder="1"/>
      <protection locked="0"/>
    </xf>
    <xf numFmtId="0" fontId="17" fillId="2" borderId="1" xfId="0" applyFont="1" applyFill="1" applyBorder="1" applyAlignment="1" applyProtection="1">
      <alignment horizontal="center" vertical="center" wrapText="1" readingOrder="1"/>
      <protection locked="0"/>
    </xf>
    <xf numFmtId="0" fontId="18" fillId="2" borderId="1" xfId="0" applyFont="1" applyFill="1" applyBorder="1" applyAlignment="1" applyProtection="1">
      <alignment horizontal="center" vertical="center" wrapText="1" readingOrder="1"/>
      <protection locked="0"/>
    </xf>
    <xf numFmtId="0" fontId="19" fillId="0" borderId="0" xfId="0" applyFont="1" applyAlignment="1" applyProtection="1">
      <alignment vertical="top" wrapText="1" readingOrder="1"/>
      <protection locked="0"/>
    </xf>
    <xf numFmtId="2" fontId="0" fillId="0" borderId="0" xfId="0" applyNumberFormat="1"/>
    <xf numFmtId="188" fontId="11" fillId="0" borderId="0" xfId="0" applyNumberFormat="1" applyFont="1"/>
    <xf numFmtId="188" fontId="6" fillId="4" borderId="0" xfId="0" applyNumberFormat="1" applyFont="1" applyFill="1" applyAlignment="1" applyProtection="1">
      <alignment horizontal="right" vertical="center" wrapText="1" readingOrder="1"/>
      <protection locked="0"/>
    </xf>
    <xf numFmtId="188" fontId="11" fillId="0" borderId="0" xfId="0" applyNumberFormat="1" applyFont="1"/>
    <xf numFmtId="188" fontId="6" fillId="4" borderId="0" xfId="0" applyNumberFormat="1" applyFont="1" applyFill="1" applyAlignment="1" applyProtection="1">
      <alignment horizontal="right" vertical="center" wrapText="1" readingOrder="1"/>
      <protection locked="0"/>
    </xf>
    <xf numFmtId="0" fontId="6" fillId="4" borderId="0" xfId="0" applyFont="1" applyFill="1" applyAlignment="1" applyProtection="1">
      <alignment vertical="center" readingOrder="1"/>
      <protection locked="0"/>
    </xf>
    <xf numFmtId="0" fontId="6" fillId="4" borderId="0" xfId="0" applyFont="1" applyFill="1" applyAlignment="1" applyProtection="1">
      <alignment vertical="center" wrapText="1" readingOrder="1"/>
      <protection locked="0"/>
    </xf>
    <xf numFmtId="0" fontId="6" fillId="4" borderId="0" xfId="0" applyFont="1" applyFill="1" applyAlignment="1" applyProtection="1">
      <alignment vertical="center" readingOrder="1"/>
      <protection locked="0"/>
    </xf>
    <xf numFmtId="0" fontId="6" fillId="4" borderId="0" xfId="0" applyFont="1" applyFill="1" applyAlignment="1" applyProtection="1">
      <alignment horizontal="left" vertical="center" wrapText="1" readingOrder="1"/>
      <protection locked="0"/>
    </xf>
    <xf numFmtId="2" fontId="8" fillId="6" borderId="0" xfId="0" applyNumberFormat="1" applyFont="1" applyFill="1"/>
    <xf numFmtId="184" fontId="1" fillId="0" borderId="0" xfId="0" applyNumberFormat="1" applyFont="1" applyAlignment="1" applyProtection="1">
      <alignment horizontal="left" vertical="top" wrapText="1" readingOrder="1"/>
      <protection locked="0"/>
    </xf>
    <xf numFmtId="183" fontId="1" fillId="0" borderId="0" xfId="0" applyNumberFormat="1" applyFont="1" applyAlignment="1" applyProtection="1">
      <alignment horizontal="left" vertical="top" wrapText="1" readingOrder="1"/>
      <protection locked="0"/>
    </xf>
    <xf numFmtId="0" fontId="1" fillId="0" borderId="0" xfId="0" applyFont="1" applyAlignment="1" applyProtection="1">
      <alignment horizontal="right" vertical="top" wrapText="1" readingOrder="1"/>
      <protection locked="0"/>
    </xf>
    <xf numFmtId="2" fontId="10" fillId="7" borderId="2" xfId="0" applyNumberFormat="1" applyFont="1" applyFill="1" applyBorder="1"/>
    <xf numFmtId="0" fontId="20" fillId="0" borderId="1" xfId="0" applyFont="1" applyBorder="1" applyAlignment="1" applyProtection="1">
      <alignment horizontal="center" vertical="center" wrapText="1" readingOrder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20" fillId="0" borderId="1" xfId="0" applyFont="1" applyBorder="1" applyAlignment="1" applyProtection="1">
      <alignment horizontal="center" vertical="center" wrapText="1" readingOrder="1"/>
      <protection locked="0"/>
    </xf>
    <xf numFmtId="0" fontId="20" fillId="0" borderId="1" xfId="0" applyFont="1" applyBorder="1" applyAlignment="1" applyProtection="1">
      <alignment vertical="top" wrapText="1" readingOrder="1"/>
      <protection locked="0"/>
    </xf>
    <xf numFmtId="0" fontId="20" fillId="0" borderId="1" xfId="0" applyFont="1" applyBorder="1" applyAlignment="1" applyProtection="1">
      <alignment vertical="top" wrapText="1" readingOrder="1"/>
      <protection locked="0"/>
    </xf>
    <xf numFmtId="0" fontId="8" fillId="0" borderId="0" xfId="0" applyFont="1" applyAlignment="1">
      <alignment horizontal="center"/>
    </xf>
    <xf numFmtId="0" fontId="1" fillId="0" borderId="0" xfId="0" applyFont="1" applyAlignment="1" applyProtection="1">
      <alignment horizontal="right" vertical="top" wrapText="1" readingOrder="1"/>
      <protection locked="0"/>
    </xf>
    <xf numFmtId="0" fontId="21" fillId="0" borderId="0" xfId="0" applyFont="1" applyFill="1" applyAlignment="1" applyProtection="1">
      <alignment vertical="top" wrapText="1" readingOrder="1"/>
      <protection locked="0"/>
    </xf>
    <xf numFmtId="0" fontId="10" fillId="0" borderId="0" xfId="0" applyFont="1" applyFill="1"/>
    <xf numFmtId="188" fontId="21" fillId="0" borderId="0" xfId="0" applyNumberFormat="1" applyFont="1" applyFill="1" applyAlignment="1" applyProtection="1">
      <alignment vertical="top" wrapText="1" readingOrder="1"/>
      <protection locked="0"/>
    </xf>
    <xf numFmtId="188" fontId="10" fillId="0" borderId="0" xfId="0" applyNumberFormat="1" applyFont="1" applyFill="1"/>
    <xf numFmtId="188" fontId="21" fillId="0" borderId="0" xfId="0" applyNumberFormat="1" applyFont="1" applyFill="1" applyAlignment="1" applyProtection="1">
      <alignment vertical="top" wrapText="1" readingOrder="1"/>
      <protection locked="0"/>
    </xf>
    <xf numFmtId="0" fontId="22" fillId="0" borderId="0" xfId="0" applyFont="1" applyFill="1" applyAlignment="1" applyProtection="1">
      <alignment vertical="top" wrapText="1" readingOrder="1"/>
      <protection locked="0"/>
    </xf>
    <xf numFmtId="188" fontId="22" fillId="0" borderId="0" xfId="0" applyNumberFormat="1" applyFont="1" applyFill="1" applyAlignment="1" applyProtection="1">
      <alignment vertical="top" wrapText="1" readingOrder="1"/>
      <protection locked="0"/>
    </xf>
    <xf numFmtId="188" fontId="22" fillId="0" borderId="0" xfId="0" applyNumberFormat="1" applyFont="1" applyFill="1" applyAlignment="1" applyProtection="1">
      <alignment vertical="top" wrapText="1" readingOrder="1"/>
      <protection locked="0"/>
    </xf>
    <xf numFmtId="0" fontId="7" fillId="0" borderId="0" xfId="1"/>
    <xf numFmtId="2" fontId="7" fillId="0" borderId="2" xfId="1" applyNumberFormat="1" applyBorder="1"/>
    <xf numFmtId="0" fontId="7" fillId="0" borderId="0" xfId="1"/>
    <xf numFmtId="2" fontId="8" fillId="6" borderId="2" xfId="1" applyNumberFormat="1" applyFont="1" applyFill="1" applyBorder="1"/>
    <xf numFmtId="0" fontId="9" fillId="5" borderId="2" xfId="1" applyFont="1" applyFill="1" applyBorder="1" applyAlignment="1">
      <alignment wrapText="1"/>
    </xf>
    <xf numFmtId="0" fontId="9" fillId="5" borderId="2" xfId="1" applyFont="1" applyFill="1" applyBorder="1" applyAlignment="1">
      <alignment horizontal="center" wrapText="1"/>
    </xf>
    <xf numFmtId="0" fontId="20" fillId="0" borderId="1" xfId="1" applyFont="1" applyBorder="1" applyAlignment="1" applyProtection="1">
      <alignment horizontal="center" vertical="center" wrapText="1" readingOrder="1"/>
      <protection locked="0"/>
    </xf>
    <xf numFmtId="0" fontId="7" fillId="0" borderId="1" xfId="1" applyBorder="1" applyAlignment="1" applyProtection="1">
      <alignment horizontal="center" vertical="center" wrapText="1"/>
      <protection locked="0"/>
    </xf>
    <xf numFmtId="0" fontId="20" fillId="0" borderId="1" xfId="1" applyFont="1" applyBorder="1" applyAlignment="1" applyProtection="1">
      <alignment horizontal="center" vertical="center" wrapText="1" readingOrder="1"/>
      <protection locked="0"/>
    </xf>
    <xf numFmtId="0" fontId="7" fillId="0" borderId="1" xfId="1" applyBorder="1" applyAlignment="1" applyProtection="1">
      <alignment vertical="top" wrapText="1"/>
      <protection locked="0"/>
    </xf>
    <xf numFmtId="0" fontId="20" fillId="0" borderId="1" xfId="1" applyFont="1" applyBorder="1" applyAlignment="1" applyProtection="1">
      <alignment vertical="top" wrapText="1" readingOrder="1"/>
      <protection locked="0"/>
    </xf>
    <xf numFmtId="0" fontId="20" fillId="0" borderId="1" xfId="1" applyFont="1" applyBorder="1" applyAlignment="1" applyProtection="1">
      <alignment vertical="top" wrapText="1" readingOrder="1"/>
      <protection locked="0"/>
    </xf>
    <xf numFmtId="0" fontId="2" fillId="0" borderId="0" xfId="1" applyFont="1" applyAlignment="1" applyProtection="1">
      <alignment horizontal="center" vertical="top" wrapText="1" readingOrder="1"/>
      <protection locked="0"/>
    </xf>
    <xf numFmtId="0" fontId="1" fillId="0" borderId="0" xfId="1" applyFont="1" applyAlignment="1" applyProtection="1">
      <alignment vertical="top" wrapText="1" readingOrder="1"/>
      <protection locked="0"/>
    </xf>
    <xf numFmtId="184" fontId="1" fillId="0" borderId="0" xfId="1" applyNumberFormat="1" applyFont="1" applyAlignment="1" applyProtection="1">
      <alignment horizontal="left" vertical="top" wrapText="1" readingOrder="1"/>
      <protection locked="0"/>
    </xf>
    <xf numFmtId="183" fontId="1" fillId="0" borderId="0" xfId="1" applyNumberFormat="1" applyFont="1" applyAlignment="1" applyProtection="1">
      <alignment horizontal="left" vertical="top" wrapText="1" readingOrder="1"/>
      <protection locked="0"/>
    </xf>
    <xf numFmtId="0" fontId="1" fillId="0" borderId="0" xfId="1" applyFont="1" applyAlignment="1" applyProtection="1">
      <alignment horizontal="right" vertical="top" wrapText="1" readingOrder="1"/>
      <protection locked="0"/>
    </xf>
    <xf numFmtId="0" fontId="21" fillId="0" borderId="0" xfId="1" applyFont="1" applyFill="1" applyAlignment="1" applyProtection="1">
      <alignment vertical="top" wrapText="1" readingOrder="1"/>
      <protection locked="0"/>
    </xf>
    <xf numFmtId="0" fontId="10" fillId="0" borderId="0" xfId="1" applyFont="1" applyFill="1"/>
    <xf numFmtId="188" fontId="21" fillId="0" borderId="0" xfId="1" applyNumberFormat="1" applyFont="1" applyFill="1" applyAlignment="1" applyProtection="1">
      <alignment vertical="top" wrapText="1" readingOrder="1"/>
      <protection locked="0"/>
    </xf>
    <xf numFmtId="188" fontId="10" fillId="0" borderId="0" xfId="1" applyNumberFormat="1" applyFont="1" applyFill="1"/>
    <xf numFmtId="188" fontId="21" fillId="0" borderId="0" xfId="1" applyNumberFormat="1" applyFont="1" applyFill="1" applyAlignment="1" applyProtection="1">
      <alignment vertical="top" wrapText="1" readingOrder="1"/>
      <protection locked="0"/>
    </xf>
    <xf numFmtId="0" fontId="22" fillId="0" borderId="0" xfId="1" applyFont="1" applyFill="1" applyAlignment="1" applyProtection="1">
      <alignment vertical="top" wrapText="1" readingOrder="1"/>
      <protection locked="0"/>
    </xf>
    <xf numFmtId="188" fontId="22" fillId="0" borderId="0" xfId="1" applyNumberFormat="1" applyFont="1" applyFill="1" applyAlignment="1" applyProtection="1">
      <alignment vertical="top" wrapText="1" readingOrder="1"/>
      <protection locked="0"/>
    </xf>
    <xf numFmtId="188" fontId="22" fillId="0" borderId="0" xfId="1" applyNumberFormat="1" applyFont="1" applyFill="1" applyAlignment="1" applyProtection="1">
      <alignment vertical="top" wrapText="1" readingOrder="1"/>
      <protection locked="0"/>
    </xf>
    <xf numFmtId="0" fontId="8" fillId="0" borderId="0" xfId="1" applyFont="1" applyAlignment="1">
      <alignment horizontal="center"/>
    </xf>
    <xf numFmtId="0" fontId="20" fillId="0" borderId="0" xfId="1" applyFont="1" applyAlignment="1" applyProtection="1">
      <alignment horizontal="center" vertical="top" wrapText="1" readingOrder="1"/>
      <protection locked="0"/>
    </xf>
    <xf numFmtId="0" fontId="23" fillId="0" borderId="0" xfId="1" applyFont="1" applyAlignment="1" applyProtection="1">
      <alignment horizontal="center" vertical="top" wrapText="1" readingOrder="1"/>
      <protection locked="0"/>
    </xf>
    <xf numFmtId="0" fontId="1" fillId="0" borderId="0" xfId="1" applyFont="1" applyAlignment="1" applyProtection="1">
      <alignment vertical="top" wrapText="1" readingOrder="1"/>
      <protection locked="0"/>
    </xf>
    <xf numFmtId="184" fontId="1" fillId="0" borderId="0" xfId="1" applyNumberFormat="1" applyFont="1" applyAlignment="1" applyProtection="1">
      <alignment horizontal="left" vertical="top" wrapText="1" readingOrder="1"/>
      <protection locked="0"/>
    </xf>
    <xf numFmtId="0" fontId="1" fillId="0" borderId="0" xfId="1" applyFont="1" applyAlignment="1" applyProtection="1">
      <alignment horizontal="right" vertical="top" wrapText="1" readingOrder="1"/>
      <protection locked="0"/>
    </xf>
    <xf numFmtId="183" fontId="1" fillId="0" borderId="0" xfId="1" applyNumberFormat="1" applyFont="1" applyAlignment="1" applyProtection="1">
      <alignment horizontal="left" vertical="top" wrapText="1" readingOrder="1"/>
      <protection locked="0"/>
    </xf>
    <xf numFmtId="0" fontId="7" fillId="0" borderId="0" xfId="0" applyFont="1"/>
    <xf numFmtId="0" fontId="24" fillId="0" borderId="0" xfId="0" applyFont="1" applyAlignment="1" applyProtection="1">
      <alignment vertical="top" wrapText="1" readingOrder="1"/>
      <protection locked="0"/>
    </xf>
    <xf numFmtId="0" fontId="7" fillId="0" borderId="0" xfId="0" applyFont="1"/>
    <xf numFmtId="0" fontId="24" fillId="0" borderId="0" xfId="0" applyFont="1" applyAlignment="1" applyProtection="1">
      <alignment horizontal="right" vertical="top" wrapText="1" readingOrder="1"/>
      <protection locked="0"/>
    </xf>
    <xf numFmtId="183" fontId="24" fillId="0" borderId="0" xfId="0" applyNumberFormat="1" applyFont="1" applyAlignment="1" applyProtection="1">
      <alignment horizontal="left" vertical="top" wrapText="1" readingOrder="1"/>
      <protection locked="0"/>
    </xf>
    <xf numFmtId="0" fontId="25" fillId="0" borderId="0" xfId="0" applyFont="1" applyAlignment="1" applyProtection="1">
      <alignment horizontal="center" vertical="top" wrapText="1" readingOrder="1"/>
      <protection locked="0"/>
    </xf>
    <xf numFmtId="0" fontId="26" fillId="8" borderId="7" xfId="0" applyFont="1" applyFill="1" applyBorder="1" applyAlignment="1" applyProtection="1">
      <alignment horizontal="center" vertical="center" wrapText="1" readingOrder="1"/>
      <protection locked="0"/>
    </xf>
    <xf numFmtId="0" fontId="7" fillId="0" borderId="7" xfId="0" applyFont="1" applyBorder="1" applyAlignment="1" applyProtection="1">
      <alignment vertical="top" wrapText="1"/>
      <protection locked="0"/>
    </xf>
    <xf numFmtId="0" fontId="27" fillId="8" borderId="7" xfId="0" applyFont="1" applyFill="1" applyBorder="1" applyAlignment="1" applyProtection="1">
      <alignment horizontal="center" vertical="center" wrapText="1" readingOrder="1"/>
      <protection locked="0"/>
    </xf>
    <xf numFmtId="0" fontId="26" fillId="8" borderId="7" xfId="0" applyFont="1" applyFill="1" applyBorder="1" applyAlignment="1" applyProtection="1">
      <alignment horizontal="center" vertical="center" wrapText="1" readingOrder="1"/>
      <protection locked="0"/>
    </xf>
    <xf numFmtId="0" fontId="28" fillId="9" borderId="2" xfId="0" applyFont="1" applyFill="1" applyBorder="1" applyAlignment="1">
      <alignment wrapText="1"/>
    </xf>
    <xf numFmtId="0" fontId="26" fillId="8" borderId="7" xfId="0" applyFont="1" applyFill="1" applyBorder="1" applyAlignment="1" applyProtection="1">
      <alignment horizontal="center" vertical="center" readingOrder="1"/>
      <protection locked="0"/>
    </xf>
    <xf numFmtId="0" fontId="7" fillId="0" borderId="7" xfId="0" applyFont="1" applyBorder="1" applyAlignment="1" applyProtection="1">
      <alignment vertical="top"/>
      <protection locked="0"/>
    </xf>
    <xf numFmtId="0" fontId="28" fillId="9" borderId="2" xfId="0" applyFont="1" applyFill="1" applyBorder="1"/>
    <xf numFmtId="0" fontId="27" fillId="10" borderId="0" xfId="0" applyFont="1" applyFill="1" applyAlignment="1" applyProtection="1">
      <alignment vertical="center" wrapText="1" readingOrder="1"/>
      <protection locked="0"/>
    </xf>
    <xf numFmtId="0" fontId="27" fillId="10" borderId="0" xfId="0" applyFont="1" applyFill="1" applyAlignment="1" applyProtection="1">
      <alignment vertical="center" readingOrder="1"/>
      <protection locked="0"/>
    </xf>
    <xf numFmtId="185" fontId="27" fillId="10" borderId="0" xfId="0" applyNumberFormat="1" applyFont="1" applyFill="1" applyAlignment="1" applyProtection="1">
      <alignment horizontal="right" vertical="center" wrapText="1" readingOrder="1"/>
      <protection locked="0"/>
    </xf>
    <xf numFmtId="185" fontId="27" fillId="10" borderId="0" xfId="0" applyNumberFormat="1" applyFont="1" applyFill="1" applyAlignment="1" applyProtection="1">
      <alignment horizontal="right" vertical="center" wrapText="1" readingOrder="1"/>
      <protection locked="0"/>
    </xf>
    <xf numFmtId="2" fontId="8" fillId="11" borderId="0" xfId="0" applyNumberFormat="1" applyFont="1" applyFill="1"/>
    <xf numFmtId="0" fontId="27" fillId="12" borderId="0" xfId="0" applyFont="1" applyFill="1" applyAlignment="1" applyProtection="1">
      <alignment vertical="center" wrapText="1" readingOrder="1"/>
      <protection locked="0"/>
    </xf>
    <xf numFmtId="0" fontId="27" fillId="12" borderId="0" xfId="0" applyFont="1" applyFill="1" applyAlignment="1" applyProtection="1">
      <alignment vertical="center" readingOrder="1"/>
      <protection locked="0"/>
    </xf>
    <xf numFmtId="185" fontId="27" fillId="12" borderId="0" xfId="0" applyNumberFormat="1" applyFont="1" applyFill="1" applyAlignment="1" applyProtection="1">
      <alignment horizontal="right" vertical="center" wrapText="1" readingOrder="1"/>
      <protection locked="0"/>
    </xf>
    <xf numFmtId="185" fontId="27" fillId="12" borderId="0" xfId="0" applyNumberFormat="1" applyFont="1" applyFill="1" applyAlignment="1" applyProtection="1">
      <alignment horizontal="right" vertical="center" wrapText="1" readingOrder="1"/>
      <protection locked="0"/>
    </xf>
    <xf numFmtId="2" fontId="7" fillId="0" borderId="2" xfId="0" applyNumberFormat="1" applyFont="1" applyBorder="1"/>
    <xf numFmtId="0" fontId="27" fillId="13" borderId="0" xfId="0" applyFont="1" applyFill="1" applyAlignment="1" applyProtection="1">
      <alignment vertical="center" wrapText="1" readingOrder="1"/>
      <protection locked="0"/>
    </xf>
    <xf numFmtId="0" fontId="27" fillId="13" borderId="0" xfId="0" applyFont="1" applyFill="1" applyAlignment="1" applyProtection="1">
      <alignment vertical="center" readingOrder="1"/>
      <protection locked="0"/>
    </xf>
    <xf numFmtId="185" fontId="27" fillId="13" borderId="0" xfId="0" applyNumberFormat="1" applyFont="1" applyFill="1" applyAlignment="1" applyProtection="1">
      <alignment horizontal="right" vertical="center" wrapText="1" readingOrder="1"/>
      <protection locked="0"/>
    </xf>
    <xf numFmtId="185" fontId="27" fillId="13" borderId="0" xfId="0" applyNumberFormat="1" applyFont="1" applyFill="1" applyAlignment="1" applyProtection="1">
      <alignment horizontal="right" vertical="center" wrapText="1" readingOrder="1"/>
      <protection locked="0"/>
    </xf>
    <xf numFmtId="0" fontId="27" fillId="14" borderId="0" xfId="0" applyFont="1" applyFill="1" applyAlignment="1" applyProtection="1">
      <alignment vertical="center" wrapText="1" readingOrder="1"/>
      <protection locked="0"/>
    </xf>
    <xf numFmtId="0" fontId="27" fillId="14" borderId="0" xfId="0" applyFont="1" applyFill="1" applyAlignment="1" applyProtection="1">
      <alignment vertical="center" readingOrder="1"/>
      <protection locked="0"/>
    </xf>
    <xf numFmtId="185" fontId="27" fillId="14" borderId="0" xfId="0" applyNumberFormat="1" applyFont="1" applyFill="1" applyAlignment="1" applyProtection="1">
      <alignment horizontal="right" vertical="center" wrapText="1" readingOrder="1"/>
      <protection locked="0"/>
    </xf>
    <xf numFmtId="185" fontId="27" fillId="14" borderId="0" xfId="0" applyNumberFormat="1" applyFont="1" applyFill="1" applyAlignment="1" applyProtection="1">
      <alignment horizontal="right" vertical="center" wrapText="1" readingOrder="1"/>
      <protection locked="0"/>
    </xf>
    <xf numFmtId="0" fontId="29" fillId="15" borderId="0" xfId="0" applyFont="1" applyFill="1" applyAlignment="1" applyProtection="1">
      <alignment vertical="center" wrapText="1" readingOrder="1"/>
      <protection locked="0"/>
    </xf>
    <xf numFmtId="0" fontId="29" fillId="15" borderId="0" xfId="0" applyFont="1" applyFill="1" applyAlignment="1" applyProtection="1">
      <alignment vertical="center" readingOrder="1"/>
      <protection locked="0"/>
    </xf>
    <xf numFmtId="185" fontId="29" fillId="15" borderId="0" xfId="0" applyNumberFormat="1" applyFont="1" applyFill="1" applyAlignment="1" applyProtection="1">
      <alignment horizontal="right" vertical="center" wrapText="1" readingOrder="1"/>
      <protection locked="0"/>
    </xf>
    <xf numFmtId="185" fontId="29" fillId="15" borderId="0" xfId="0" applyNumberFormat="1" applyFont="1" applyFill="1" applyAlignment="1" applyProtection="1">
      <alignment horizontal="right" vertical="center" wrapText="1" readingOrder="1"/>
      <protection locked="0"/>
    </xf>
    <xf numFmtId="2" fontId="7" fillId="16" borderId="2" xfId="0" applyNumberFormat="1" applyFont="1" applyFill="1" applyBorder="1"/>
    <xf numFmtId="0" fontId="29" fillId="17" borderId="0" xfId="0" applyFont="1" applyFill="1" applyAlignment="1" applyProtection="1">
      <alignment vertical="center" wrapText="1" readingOrder="1"/>
      <protection locked="0"/>
    </xf>
    <xf numFmtId="0" fontId="29" fillId="17" borderId="0" xfId="0" applyFont="1" applyFill="1" applyAlignment="1" applyProtection="1">
      <alignment vertical="center" readingOrder="1"/>
      <protection locked="0"/>
    </xf>
    <xf numFmtId="185" fontId="29" fillId="17" borderId="0" xfId="0" applyNumberFormat="1" applyFont="1" applyFill="1" applyAlignment="1" applyProtection="1">
      <alignment horizontal="right" vertical="center" wrapText="1" readingOrder="1"/>
      <protection locked="0"/>
    </xf>
    <xf numFmtId="185" fontId="29" fillId="17" borderId="0" xfId="0" applyNumberFormat="1" applyFont="1" applyFill="1" applyAlignment="1" applyProtection="1">
      <alignment horizontal="right" vertical="center" wrapText="1" readingOrder="1"/>
      <protection locked="0"/>
    </xf>
    <xf numFmtId="0" fontId="29" fillId="18" borderId="0" xfId="0" applyFont="1" applyFill="1" applyAlignment="1" applyProtection="1">
      <alignment vertical="center" wrapText="1" readingOrder="1"/>
      <protection locked="0"/>
    </xf>
    <xf numFmtId="0" fontId="29" fillId="18" borderId="0" xfId="0" applyFont="1" applyFill="1" applyAlignment="1" applyProtection="1">
      <alignment vertical="center" readingOrder="1"/>
      <protection locked="0"/>
    </xf>
    <xf numFmtId="185" fontId="29" fillId="18" borderId="0" xfId="0" applyNumberFormat="1" applyFont="1" applyFill="1" applyAlignment="1" applyProtection="1">
      <alignment horizontal="right" vertical="center" wrapText="1" readingOrder="1"/>
      <protection locked="0"/>
    </xf>
    <xf numFmtId="185" fontId="29" fillId="18" borderId="0" xfId="0" applyNumberFormat="1" applyFont="1" applyFill="1" applyAlignment="1" applyProtection="1">
      <alignment horizontal="right" vertical="center" wrapText="1" readingOrder="1"/>
      <protection locked="0"/>
    </xf>
    <xf numFmtId="0" fontId="29" fillId="19" borderId="0" xfId="0" applyFont="1" applyFill="1" applyAlignment="1" applyProtection="1">
      <alignment vertical="center" wrapText="1" readingOrder="1"/>
      <protection locked="0"/>
    </xf>
    <xf numFmtId="0" fontId="29" fillId="19" borderId="0" xfId="0" applyFont="1" applyFill="1" applyAlignment="1" applyProtection="1">
      <alignment vertical="center" readingOrder="1"/>
      <protection locked="0"/>
    </xf>
    <xf numFmtId="185" fontId="29" fillId="19" borderId="0" xfId="0" applyNumberFormat="1" applyFont="1" applyFill="1" applyAlignment="1" applyProtection="1">
      <alignment horizontal="right" vertical="center" wrapText="1" readingOrder="1"/>
      <protection locked="0"/>
    </xf>
    <xf numFmtId="185" fontId="29" fillId="19" borderId="0" xfId="0" applyNumberFormat="1" applyFont="1" applyFill="1" applyAlignment="1" applyProtection="1">
      <alignment horizontal="right" vertical="center" wrapText="1" readingOrder="1"/>
      <protection locked="0"/>
    </xf>
    <xf numFmtId="0" fontId="29" fillId="20" borderId="0" xfId="0" applyFont="1" applyFill="1" applyAlignment="1" applyProtection="1">
      <alignment vertical="center" wrapText="1" readingOrder="1"/>
      <protection locked="0"/>
    </xf>
    <xf numFmtId="0" fontId="29" fillId="20" borderId="0" xfId="0" applyFont="1" applyFill="1" applyAlignment="1" applyProtection="1">
      <alignment vertical="center" readingOrder="1"/>
      <protection locked="0"/>
    </xf>
    <xf numFmtId="185" fontId="29" fillId="20" borderId="0" xfId="0" applyNumberFormat="1" applyFont="1" applyFill="1" applyAlignment="1" applyProtection="1">
      <alignment horizontal="right" vertical="center" wrapText="1" readingOrder="1"/>
      <protection locked="0"/>
    </xf>
    <xf numFmtId="185" fontId="29" fillId="20" borderId="0" xfId="0" applyNumberFormat="1" applyFont="1" applyFill="1" applyAlignment="1" applyProtection="1">
      <alignment horizontal="right" vertical="center" wrapText="1" readingOrder="1"/>
      <protection locked="0"/>
    </xf>
    <xf numFmtId="0" fontId="29" fillId="19" borderId="0" xfId="0" applyFont="1" applyFill="1" applyAlignment="1" applyProtection="1">
      <alignment vertical="center" wrapText="1" readingOrder="1"/>
      <protection locked="0"/>
    </xf>
    <xf numFmtId="0" fontId="7" fillId="0" borderId="0" xfId="0" applyFont="1" applyAlignment="1">
      <alignment wrapText="1"/>
    </xf>
    <xf numFmtId="2" fontId="10" fillId="0" borderId="2" xfId="1" applyNumberFormat="1" applyFont="1" applyBorder="1"/>
    <xf numFmtId="2" fontId="10" fillId="0" borderId="2" xfId="1" applyNumberFormat="1" applyFont="1" applyBorder="1" applyAlignment="1" applyProtection="1">
      <alignment horizontal="right" vertical="center" wrapText="1" readingOrder="1"/>
      <protection locked="0"/>
    </xf>
    <xf numFmtId="188" fontId="6" fillId="4" borderId="2" xfId="1" applyNumberFormat="1" applyFont="1" applyFill="1" applyBorder="1" applyAlignment="1" applyProtection="1">
      <alignment vertical="center" wrapText="1" readingOrder="1"/>
      <protection locked="0"/>
    </xf>
    <xf numFmtId="188" fontId="6" fillId="4" borderId="2" xfId="1" applyNumberFormat="1" applyFont="1" applyFill="1" applyBorder="1" applyAlignment="1" applyProtection="1">
      <alignment horizontal="right" vertical="center" wrapText="1" readingOrder="1"/>
      <protection locked="0"/>
    </xf>
    <xf numFmtId="188" fontId="11" fillId="0" borderId="2" xfId="1" applyNumberFormat="1" applyFont="1" applyBorder="1"/>
    <xf numFmtId="0" fontId="7" fillId="0" borderId="2" xfId="1" applyBorder="1"/>
    <xf numFmtId="0" fontId="6" fillId="4" borderId="2" xfId="1" applyFont="1" applyFill="1" applyBorder="1" applyAlignment="1" applyProtection="1">
      <alignment vertical="center" readingOrder="1"/>
      <protection locked="0"/>
    </xf>
    <xf numFmtId="0" fontId="6" fillId="4" borderId="2" xfId="1" applyFont="1" applyFill="1" applyBorder="1" applyAlignment="1" applyProtection="1">
      <alignment vertical="center" wrapText="1" readingOrder="1"/>
      <protection locked="0"/>
    </xf>
    <xf numFmtId="0" fontId="6" fillId="4" borderId="2" xfId="1" applyFont="1" applyFill="1" applyBorder="1" applyAlignment="1" applyProtection="1">
      <alignment horizontal="left" vertical="center" wrapText="1" readingOrder="1"/>
      <protection locked="0"/>
    </xf>
    <xf numFmtId="2" fontId="15" fillId="6" borderId="2" xfId="1" applyNumberFormat="1" applyFont="1" applyFill="1" applyBorder="1"/>
    <xf numFmtId="2" fontId="15" fillId="6" borderId="2" xfId="1" applyNumberFormat="1" applyFont="1" applyFill="1" applyBorder="1" applyAlignment="1" applyProtection="1">
      <alignment horizontal="right" vertical="center" wrapText="1" readingOrder="1"/>
      <protection locked="0"/>
    </xf>
    <xf numFmtId="188" fontId="5" fillId="3" borderId="0" xfId="1" applyNumberFormat="1" applyFont="1" applyFill="1" applyAlignment="1" applyProtection="1">
      <alignment vertical="center" wrapText="1" readingOrder="1"/>
      <protection locked="0"/>
    </xf>
    <xf numFmtId="188" fontId="5" fillId="3" borderId="0" xfId="1" applyNumberFormat="1" applyFont="1" applyFill="1" applyAlignment="1" applyProtection="1">
      <alignment horizontal="right" vertical="center" wrapText="1" readingOrder="1"/>
      <protection locked="0"/>
    </xf>
    <xf numFmtId="0" fontId="5" fillId="3" borderId="8" xfId="1" applyFont="1" applyFill="1" applyBorder="1" applyAlignment="1" applyProtection="1">
      <alignment horizontal="left" vertical="center" readingOrder="1"/>
      <protection locked="0"/>
    </xf>
    <xf numFmtId="0" fontId="5" fillId="3" borderId="0" xfId="1" applyFont="1" applyFill="1" applyAlignment="1" applyProtection="1">
      <alignment vertical="center" wrapText="1" readingOrder="1"/>
      <protection locked="0"/>
    </xf>
    <xf numFmtId="0" fontId="3" fillId="2" borderId="1" xfId="1" applyFont="1" applyFill="1" applyBorder="1" applyAlignment="1" applyProtection="1">
      <alignment vertical="center" wrapText="1" readingOrder="1"/>
      <protection locked="0"/>
    </xf>
    <xf numFmtId="0" fontId="3" fillId="2" borderId="1" xfId="1" applyFont="1" applyFill="1" applyBorder="1" applyAlignment="1" applyProtection="1">
      <alignment horizontal="center" vertical="center" wrapText="1" readingOrder="1"/>
      <protection locked="0"/>
    </xf>
    <xf numFmtId="0" fontId="3" fillId="2" borderId="1" xfId="1" applyFont="1" applyFill="1" applyBorder="1" applyAlignment="1" applyProtection="1">
      <alignment horizontal="center" vertical="center" wrapText="1" readingOrder="1"/>
      <protection locked="0"/>
    </xf>
    <xf numFmtId="0" fontId="9" fillId="5" borderId="9" xfId="1" applyFont="1" applyFill="1" applyBorder="1" applyAlignment="1">
      <alignment wrapText="1"/>
    </xf>
    <xf numFmtId="0" fontId="9" fillId="5" borderId="9" xfId="1" applyFont="1" applyFill="1" applyBorder="1" applyAlignment="1">
      <alignment horizontal="center" wrapText="1"/>
    </xf>
    <xf numFmtId="0" fontId="4" fillId="2" borderId="1" xfId="1" applyFont="1" applyFill="1" applyBorder="1" applyAlignment="1" applyProtection="1">
      <alignment horizontal="center" vertical="center" wrapText="1" readingOrder="1"/>
      <protection locked="0"/>
    </xf>
    <xf numFmtId="2" fontId="10" fillId="0" borderId="0" xfId="1" applyNumberFormat="1" applyFont="1"/>
    <xf numFmtId="2" fontId="10" fillId="0" borderId="0" xfId="1" applyNumberFormat="1" applyFont="1" applyAlignment="1" applyProtection="1">
      <alignment horizontal="right" vertical="center" wrapText="1" readingOrder="1"/>
      <protection locked="0"/>
    </xf>
    <xf numFmtId="188" fontId="11" fillId="0" borderId="3" xfId="1" applyNumberFormat="1" applyFont="1" applyBorder="1" applyAlignment="1">
      <alignment horizontal="right"/>
    </xf>
    <xf numFmtId="188" fontId="11" fillId="0" borderId="2" xfId="1" applyNumberFormat="1" applyFont="1" applyBorder="1" applyAlignment="1">
      <alignment horizontal="right"/>
    </xf>
    <xf numFmtId="0" fontId="12" fillId="0" borderId="5" xfId="1" applyFont="1" applyBorder="1" applyAlignment="1">
      <alignment horizontal="left"/>
    </xf>
    <xf numFmtId="0" fontId="12" fillId="0" borderId="3" xfId="1" applyFont="1" applyBorder="1" applyAlignment="1">
      <alignment horizontal="left"/>
    </xf>
    <xf numFmtId="0" fontId="11" fillId="0" borderId="2" xfId="1" applyFont="1" applyBorder="1" applyAlignment="1">
      <alignment horizontal="left"/>
    </xf>
    <xf numFmtId="0" fontId="12" fillId="0" borderId="2" xfId="1" applyFont="1" applyBorder="1"/>
    <xf numFmtId="188" fontId="6" fillId="4" borderId="3" xfId="1" applyNumberFormat="1" applyFont="1" applyFill="1" applyBorder="1" applyAlignment="1" applyProtection="1">
      <alignment horizontal="right" vertical="center" wrapText="1" readingOrder="1"/>
      <protection locked="0"/>
    </xf>
    <xf numFmtId="0" fontId="13" fillId="4" borderId="2" xfId="1" applyFont="1" applyFill="1" applyBorder="1" applyAlignment="1" applyProtection="1">
      <alignment vertical="center" readingOrder="1"/>
      <protection locked="0"/>
    </xf>
    <xf numFmtId="0" fontId="13" fillId="4" borderId="5" xfId="1" applyFont="1" applyFill="1" applyBorder="1" applyAlignment="1" applyProtection="1">
      <alignment vertical="center" readingOrder="1"/>
      <protection locked="0"/>
    </xf>
    <xf numFmtId="0" fontId="13" fillId="4" borderId="3" xfId="1" applyFont="1" applyFill="1" applyBorder="1" applyAlignment="1" applyProtection="1">
      <alignment vertical="center" readingOrder="1"/>
      <protection locked="0"/>
    </xf>
    <xf numFmtId="0" fontId="5" fillId="3" borderId="6" xfId="1" applyFont="1" applyFill="1" applyBorder="1" applyAlignment="1" applyProtection="1">
      <alignment vertical="center" wrapText="1" readingOrder="1"/>
      <protection locked="0"/>
    </xf>
    <xf numFmtId="0" fontId="10" fillId="0" borderId="0" xfId="1" applyFont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366FF"/>
      <rgbColor rgb="00FFFFFF"/>
      <rgbColor rgb="00757575"/>
      <rgbColor rgb="00FFFFFF"/>
      <rgbColor rgb="000000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showGridLines="0" tabSelected="1" workbookViewId="0">
      <pane ySplit="1" topLeftCell="A2" activePane="bottomLeft" state="frozenSplit"/>
      <selection pane="bottomLeft" activeCell="T7" sqref="T7"/>
    </sheetView>
  </sheetViews>
  <sheetFormatPr defaultRowHeight="12.75" x14ac:dyDescent="0.2"/>
  <cols>
    <col min="1" max="1" width="4.28515625" customWidth="1"/>
    <col min="2" max="2" width="14.28515625" customWidth="1"/>
    <col min="3" max="3" width="6.28515625" customWidth="1"/>
    <col min="4" max="4" width="4" customWidth="1"/>
    <col min="5" max="5" width="4.85546875" customWidth="1"/>
    <col min="6" max="6" width="12" customWidth="1"/>
    <col min="7" max="7" width="4.42578125" customWidth="1"/>
    <col min="8" max="8" width="0.140625" customWidth="1"/>
    <col min="9" max="9" width="1" customWidth="1"/>
    <col min="10" max="10" width="6.5703125" customWidth="1"/>
    <col min="11" max="11" width="11.85546875" customWidth="1"/>
    <col min="12" max="12" width="3.28515625" customWidth="1"/>
    <col min="13" max="13" width="6.5703125" customWidth="1"/>
    <col min="14" max="14" width="1" customWidth="1"/>
    <col min="15" max="15" width="0" hidden="1" customWidth="1"/>
    <col min="16" max="16" width="13" customWidth="1"/>
    <col min="17" max="17" width="11.7109375" customWidth="1"/>
    <col min="18" max="18" width="12.42578125" customWidth="1"/>
  </cols>
  <sheetData>
    <row r="1" spans="1:18" x14ac:dyDescent="0.2">
      <c r="A1" s="18" t="s">
        <v>0</v>
      </c>
      <c r="B1" s="19"/>
      <c r="C1" s="19"/>
      <c r="D1" s="19"/>
      <c r="E1" s="19"/>
    </row>
    <row r="2" spans="1:18" x14ac:dyDescent="0.2">
      <c r="A2" s="18" t="s">
        <v>1</v>
      </c>
      <c r="B2" s="19"/>
      <c r="C2" s="19"/>
      <c r="D2" s="19"/>
      <c r="H2" s="19"/>
      <c r="I2" s="19"/>
      <c r="J2" s="19"/>
      <c r="L2" s="19"/>
      <c r="M2" s="19"/>
    </row>
    <row r="3" spans="1:18" x14ac:dyDescent="0.2">
      <c r="A3" s="18" t="s">
        <v>2</v>
      </c>
      <c r="B3" s="19"/>
      <c r="C3" s="19"/>
      <c r="H3" s="19"/>
      <c r="I3" s="19"/>
      <c r="J3" s="19"/>
      <c r="L3" s="19"/>
      <c r="M3" s="19"/>
    </row>
    <row r="4" spans="1:18" ht="18" customHeight="1" x14ac:dyDescent="0.2">
      <c r="C4" s="28" t="s">
        <v>73</v>
      </c>
      <c r="D4" s="19"/>
      <c r="E4" s="19"/>
      <c r="F4" s="19"/>
      <c r="G4" s="19"/>
      <c r="H4" s="19"/>
    </row>
    <row r="5" spans="1:18" ht="5.0999999999999996" customHeight="1" thickBot="1" x14ac:dyDescent="0.25"/>
    <row r="6" spans="1:18" ht="38.25" customHeight="1" thickTop="1" thickBot="1" x14ac:dyDescent="0.25">
      <c r="A6" s="16" t="s">
        <v>3</v>
      </c>
      <c r="B6" s="17"/>
      <c r="C6" s="17"/>
      <c r="D6" s="17"/>
      <c r="E6" s="17"/>
      <c r="F6" s="1" t="s">
        <v>24</v>
      </c>
      <c r="G6" s="16" t="s">
        <v>25</v>
      </c>
      <c r="H6" s="17"/>
      <c r="I6" s="17"/>
      <c r="J6" s="17"/>
      <c r="K6" s="2" t="s">
        <v>4</v>
      </c>
      <c r="L6" s="16" t="s">
        <v>5</v>
      </c>
      <c r="M6" s="17"/>
      <c r="N6" s="17"/>
      <c r="O6" s="16" t="s">
        <v>6</v>
      </c>
      <c r="P6" s="17"/>
      <c r="Q6" s="12" t="s">
        <v>26</v>
      </c>
      <c r="R6" s="13" t="s">
        <v>27</v>
      </c>
    </row>
    <row r="7" spans="1:18" ht="14.25" thickTop="1" thickBot="1" x14ac:dyDescent="0.25">
      <c r="A7" s="1" t="s">
        <v>7</v>
      </c>
      <c r="B7" s="16" t="s">
        <v>8</v>
      </c>
      <c r="C7" s="17"/>
      <c r="D7" s="17"/>
      <c r="E7" s="17"/>
      <c r="F7" s="1" t="s">
        <v>10</v>
      </c>
      <c r="G7" s="16" t="s">
        <v>11</v>
      </c>
      <c r="H7" s="17"/>
      <c r="I7" s="17"/>
      <c r="J7" s="17"/>
      <c r="K7" s="1" t="s">
        <v>9</v>
      </c>
      <c r="L7" s="16" t="s">
        <v>12</v>
      </c>
      <c r="M7" s="17"/>
      <c r="N7" s="17"/>
      <c r="O7" s="16" t="s">
        <v>13</v>
      </c>
      <c r="P7" s="17"/>
      <c r="Q7" s="14"/>
      <c r="R7" s="14"/>
    </row>
    <row r="8" spans="1:18" ht="13.5" thickTop="1" x14ac:dyDescent="0.2">
      <c r="A8" s="3"/>
      <c r="B8" s="24" t="s">
        <v>14</v>
      </c>
      <c r="C8" s="19"/>
      <c r="D8" s="19"/>
      <c r="E8" s="19"/>
      <c r="F8" s="4">
        <f>SUM(F9:F10)</f>
        <v>509501.41084345343</v>
      </c>
      <c r="G8" s="25">
        <f>SUM(G9:J10)</f>
        <v>553407.92000000004</v>
      </c>
      <c r="H8" s="26"/>
      <c r="I8" s="26"/>
      <c r="J8" s="26"/>
      <c r="K8" s="4">
        <f>SUM(K9:K10)</f>
        <v>1540220</v>
      </c>
      <c r="L8" s="25">
        <v>553407.92000000004</v>
      </c>
      <c r="M8" s="26"/>
      <c r="N8" s="26"/>
      <c r="O8" s="25">
        <f>SUM(O9:P10)</f>
        <v>986812.08</v>
      </c>
      <c r="P8" s="26"/>
      <c r="Q8" s="15">
        <f>(G8/F8)*100</f>
        <v>108.61754417595462</v>
      </c>
      <c r="R8" s="15">
        <f t="shared" ref="R8:R13" si="0">(G8/K8)*100</f>
        <v>35.930446299879243</v>
      </c>
    </row>
    <row r="9" spans="1:18" x14ac:dyDescent="0.2">
      <c r="A9" s="7" t="s">
        <v>15</v>
      </c>
      <c r="B9" s="20" t="s">
        <v>16</v>
      </c>
      <c r="C9" s="21"/>
      <c r="D9" s="21"/>
      <c r="E9" s="21"/>
      <c r="F9" s="5">
        <f>(3447341.18+329834.51)/7.5345</f>
        <v>501317.36545225297</v>
      </c>
      <c r="G9" s="22">
        <f>522326.13+31081.79</f>
        <v>553407.92000000004</v>
      </c>
      <c r="H9" s="23"/>
      <c r="I9" s="23"/>
      <c r="J9" s="23"/>
      <c r="K9" s="5">
        <f>1121700+384520</f>
        <v>1506220</v>
      </c>
      <c r="L9" s="22">
        <v>553407.92000000004</v>
      </c>
      <c r="M9" s="23"/>
      <c r="N9" s="23"/>
      <c r="O9" s="22">
        <f>K9-L9</f>
        <v>952812.08</v>
      </c>
      <c r="P9" s="27"/>
      <c r="Q9" s="11">
        <f t="shared" ref="Q9:Q13" si="1">(G9/F9)*100</f>
        <v>110.39073412123967</v>
      </c>
      <c r="R9" s="11">
        <f t="shared" si="0"/>
        <v>36.741506552827616</v>
      </c>
    </row>
    <row r="10" spans="1:18" x14ac:dyDescent="0.2">
      <c r="A10" s="7" t="s">
        <v>17</v>
      </c>
      <c r="B10" s="20" t="s">
        <v>18</v>
      </c>
      <c r="C10" s="21"/>
      <c r="D10" s="21"/>
      <c r="E10" s="21"/>
      <c r="F10" s="5">
        <f>61662.69/7.5345</f>
        <v>8184.0453912004778</v>
      </c>
      <c r="G10" s="22">
        <v>0</v>
      </c>
      <c r="H10" s="23"/>
      <c r="I10" s="23"/>
      <c r="J10" s="23"/>
      <c r="K10" s="5">
        <v>34000</v>
      </c>
      <c r="L10" s="22">
        <v>0</v>
      </c>
      <c r="M10" s="23"/>
      <c r="N10" s="23"/>
      <c r="O10" s="29">
        <f>K10-L10</f>
        <v>34000</v>
      </c>
      <c r="P10" s="30"/>
      <c r="Q10" s="11">
        <f t="shared" si="1"/>
        <v>0</v>
      </c>
      <c r="R10" s="11">
        <f t="shared" si="0"/>
        <v>0</v>
      </c>
    </row>
    <row r="11" spans="1:18" x14ac:dyDescent="0.2">
      <c r="A11" s="8"/>
      <c r="B11" s="31" t="s">
        <v>19</v>
      </c>
      <c r="C11" s="21"/>
      <c r="D11" s="21"/>
      <c r="E11" s="21"/>
      <c r="F11" s="6">
        <f>3847754.69/7.5345</f>
        <v>510684.80854734883</v>
      </c>
      <c r="G11" s="32">
        <v>583939.94999999995</v>
      </c>
      <c r="H11" s="23"/>
      <c r="I11" s="23"/>
      <c r="J11" s="23"/>
      <c r="K11" s="6">
        <v>1540220</v>
      </c>
      <c r="L11" s="32">
        <v>583939.94999999995</v>
      </c>
      <c r="M11" s="23"/>
      <c r="N11" s="23"/>
      <c r="O11" s="32">
        <f>SUM(O12:P13)</f>
        <v>956280.05</v>
      </c>
      <c r="P11" s="27"/>
      <c r="Q11" s="15">
        <f t="shared" si="1"/>
        <v>114.34449198930091</v>
      </c>
      <c r="R11" s="15">
        <f t="shared" si="0"/>
        <v>37.912762462505356</v>
      </c>
    </row>
    <row r="12" spans="1:18" x14ac:dyDescent="0.2">
      <c r="A12" s="7" t="s">
        <v>20</v>
      </c>
      <c r="B12" s="20" t="s">
        <v>21</v>
      </c>
      <c r="C12" s="21"/>
      <c r="D12" s="21"/>
      <c r="E12" s="21"/>
      <c r="F12" s="5">
        <f>3836999.54/7.5345</f>
        <v>509257.35483442829</v>
      </c>
      <c r="G12" s="22">
        <v>577147.03</v>
      </c>
      <c r="H12" s="23"/>
      <c r="I12" s="23"/>
      <c r="J12" s="23"/>
      <c r="K12" s="5">
        <v>1215950</v>
      </c>
      <c r="L12" s="22">
        <v>577147.03</v>
      </c>
      <c r="M12" s="23"/>
      <c r="N12" s="23"/>
      <c r="O12" s="22">
        <f>K12-L12</f>
        <v>638802.97</v>
      </c>
      <c r="P12" s="27"/>
      <c r="Q12" s="11">
        <f t="shared" si="1"/>
        <v>113.3311133400605</v>
      </c>
      <c r="R12" s="11">
        <f t="shared" si="0"/>
        <v>47.464700851186322</v>
      </c>
    </row>
    <row r="13" spans="1:18" x14ac:dyDescent="0.2">
      <c r="A13" s="7" t="s">
        <v>22</v>
      </c>
      <c r="B13" s="20" t="s">
        <v>23</v>
      </c>
      <c r="C13" s="21"/>
      <c r="D13" s="21"/>
      <c r="E13" s="21"/>
      <c r="F13" s="5">
        <f>10755.15/7.5345</f>
        <v>1427.4537129205653</v>
      </c>
      <c r="G13" s="22">
        <v>6792.92</v>
      </c>
      <c r="H13" s="23"/>
      <c r="I13" s="23"/>
      <c r="J13" s="23"/>
      <c r="K13" s="5">
        <v>324270</v>
      </c>
      <c r="L13" s="22">
        <v>6792.92</v>
      </c>
      <c r="M13" s="23"/>
      <c r="N13" s="23"/>
      <c r="O13" s="22">
        <f>K13-L13</f>
        <v>317477.08</v>
      </c>
      <c r="P13" s="27"/>
      <c r="Q13" s="11">
        <f t="shared" si="1"/>
        <v>475.87672640548948</v>
      </c>
      <c r="R13" s="11">
        <f t="shared" si="0"/>
        <v>2.094834551454035</v>
      </c>
    </row>
    <row r="14" spans="1:18" x14ac:dyDescent="0.2">
      <c r="A14" s="7" t="s">
        <v>17</v>
      </c>
      <c r="B14" s="20" t="s">
        <v>18</v>
      </c>
      <c r="C14" s="21"/>
      <c r="D14" s="21"/>
      <c r="E14" s="21"/>
      <c r="F14" s="5">
        <v>0</v>
      </c>
      <c r="G14" s="22">
        <v>0</v>
      </c>
      <c r="H14" s="23"/>
      <c r="I14" s="23"/>
      <c r="J14" s="23"/>
      <c r="K14" s="5">
        <v>0</v>
      </c>
      <c r="L14" s="22">
        <v>0</v>
      </c>
      <c r="M14" s="23"/>
      <c r="N14" s="23"/>
      <c r="O14" s="22">
        <v>0</v>
      </c>
      <c r="P14" s="27"/>
      <c r="Q14" s="11">
        <v>0</v>
      </c>
      <c r="R14" s="11">
        <v>0</v>
      </c>
    </row>
  </sheetData>
  <mergeCells count="44">
    <mergeCell ref="B14:E14"/>
    <mergeCell ref="G14:J14"/>
    <mergeCell ref="L14:N14"/>
    <mergeCell ref="O14:P14"/>
    <mergeCell ref="B12:E12"/>
    <mergeCell ref="G12:J12"/>
    <mergeCell ref="L12:N12"/>
    <mergeCell ref="O12:P12"/>
    <mergeCell ref="B13:E13"/>
    <mergeCell ref="G13:J13"/>
    <mergeCell ref="L13:N13"/>
    <mergeCell ref="O13:P13"/>
    <mergeCell ref="B10:E10"/>
    <mergeCell ref="G10:J10"/>
    <mergeCell ref="L10:N10"/>
    <mergeCell ref="O10:P10"/>
    <mergeCell ref="B11:E11"/>
    <mergeCell ref="G11:J11"/>
    <mergeCell ref="L11:N11"/>
    <mergeCell ref="O11:P11"/>
    <mergeCell ref="O8:P8"/>
    <mergeCell ref="O9:P9"/>
    <mergeCell ref="C4:H4"/>
    <mergeCell ref="A6:E6"/>
    <mergeCell ref="G6:J6"/>
    <mergeCell ref="L6:N6"/>
    <mergeCell ref="O6:P6"/>
    <mergeCell ref="B9:E9"/>
    <mergeCell ref="G9:J9"/>
    <mergeCell ref="L9:N9"/>
    <mergeCell ref="L3:M3"/>
    <mergeCell ref="A3:C3"/>
    <mergeCell ref="B8:E8"/>
    <mergeCell ref="G8:J8"/>
    <mergeCell ref="L8:N8"/>
    <mergeCell ref="B7:E7"/>
    <mergeCell ref="G7:J7"/>
    <mergeCell ref="L7:N7"/>
    <mergeCell ref="O7:P7"/>
    <mergeCell ref="A1:E1"/>
    <mergeCell ref="H2:J2"/>
    <mergeCell ref="L2:M2"/>
    <mergeCell ref="A2:D2"/>
    <mergeCell ref="H3:J3"/>
  </mergeCells>
  <phoneticPr fontId="0" type="noConversion"/>
  <pageMargins left="0" right="0" top="0" bottom="0.39375000000000004" header="0" footer="0"/>
  <pageSetup paperSize="9" orientation="landscape" r:id="rId1"/>
  <headerFooter alignWithMargins="0">
    <oddFooter xml:space="preserve">&amp;L&amp;"Arial"&amp;8 Lista: LCW148RBPR &amp;C&amp;"Arial"&amp;8 Stranica 
&amp;B&amp;P&amp;B &amp;R&amp;"Arial"&amp;8 * OBRADA LC * </oddFooter>
  </headerFooter>
  <ignoredErrors>
    <ignoredError sqref="F11:N11 F9:K9 P9 F10:N10 F14:P14 F12:N12 P12 F13:N13 P13 P11 M9:N9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showGridLines="0" workbookViewId="0">
      <pane ySplit="1" topLeftCell="A2" activePane="bottomLeft" state="frozenSplit"/>
      <selection pane="bottomLeft" activeCell="A6" sqref="A6"/>
    </sheetView>
  </sheetViews>
  <sheetFormatPr defaultRowHeight="12.75" x14ac:dyDescent="0.2"/>
  <cols>
    <col min="1" max="1" width="7" customWidth="1"/>
    <col min="2" max="2" width="14.28515625" customWidth="1"/>
    <col min="3" max="3" width="67.28515625" customWidth="1"/>
    <col min="4" max="4" width="13" customWidth="1"/>
    <col min="5" max="5" width="12.140625" customWidth="1"/>
    <col min="6" max="6" width="12.42578125" customWidth="1"/>
    <col min="7" max="7" width="12.140625" bestFit="1" customWidth="1"/>
    <col min="8" max="8" width="12.7109375" customWidth="1"/>
    <col min="9" max="9" width="11" customWidth="1"/>
    <col min="10" max="10" width="12.42578125" customWidth="1"/>
  </cols>
  <sheetData>
    <row r="1" spans="1:10" x14ac:dyDescent="0.2">
      <c r="A1" s="53" t="s">
        <v>0</v>
      </c>
      <c r="B1" s="19"/>
      <c r="C1" s="19"/>
    </row>
    <row r="2" spans="1:10" x14ac:dyDescent="0.2">
      <c r="A2" s="53" t="s">
        <v>1</v>
      </c>
      <c r="B2" s="19"/>
      <c r="C2" s="19"/>
    </row>
    <row r="3" spans="1:10" x14ac:dyDescent="0.2">
      <c r="A3" s="53" t="s">
        <v>2</v>
      </c>
      <c r="B3" s="19"/>
      <c r="C3" s="19"/>
    </row>
    <row r="4" spans="1:10" ht="18" customHeight="1" thickBot="1" x14ac:dyDescent="0.25">
      <c r="C4" s="28" t="s">
        <v>71</v>
      </c>
      <c r="D4" s="19"/>
      <c r="E4" s="19"/>
      <c r="F4" s="19"/>
    </row>
    <row r="5" spans="1:10" ht="43.5" customHeight="1" thickTop="1" thickBot="1" x14ac:dyDescent="0.25">
      <c r="A5" s="51" t="s">
        <v>72</v>
      </c>
      <c r="B5" s="17"/>
      <c r="C5" s="17"/>
      <c r="D5" s="1" t="s">
        <v>24</v>
      </c>
      <c r="E5" s="1" t="s">
        <v>25</v>
      </c>
      <c r="F5" s="52" t="s">
        <v>4</v>
      </c>
      <c r="G5" s="50" t="s">
        <v>5</v>
      </c>
      <c r="H5" s="50" t="s">
        <v>6</v>
      </c>
      <c r="I5" s="12" t="s">
        <v>26</v>
      </c>
      <c r="J5" s="13" t="s">
        <v>27</v>
      </c>
    </row>
    <row r="6" spans="1:10" ht="14.25" thickTop="1" thickBot="1" x14ac:dyDescent="0.25">
      <c r="A6" s="50" t="s">
        <v>7</v>
      </c>
      <c r="B6" s="51" t="s">
        <v>8</v>
      </c>
      <c r="C6" s="51"/>
      <c r="D6" s="1"/>
      <c r="E6" s="50" t="s">
        <v>11</v>
      </c>
      <c r="F6" s="50" t="s">
        <v>9</v>
      </c>
      <c r="G6" s="50" t="s">
        <v>12</v>
      </c>
      <c r="H6" s="50" t="s">
        <v>13</v>
      </c>
      <c r="I6" s="33"/>
      <c r="J6" s="33"/>
    </row>
    <row r="7" spans="1:10" ht="13.5" thickTop="1" x14ac:dyDescent="0.2">
      <c r="A7" s="49"/>
      <c r="B7" s="48" t="s">
        <v>14</v>
      </c>
      <c r="C7" s="48"/>
      <c r="D7" s="4">
        <f>D8+D32</f>
        <v>509501.41084345337</v>
      </c>
      <c r="E7" s="4">
        <f>E8+E32</f>
        <v>553407.91999999993</v>
      </c>
      <c r="F7" s="4">
        <f>F8+F32</f>
        <v>1540220</v>
      </c>
      <c r="G7" s="4">
        <f>G8+G32</f>
        <v>553407.91999999993</v>
      </c>
      <c r="H7" s="4">
        <f>H8+H32</f>
        <v>986812.08000000007</v>
      </c>
      <c r="I7" s="47">
        <f>(E7/D7)*100</f>
        <v>108.61754417595459</v>
      </c>
      <c r="J7" s="46">
        <f>(E7/F7)*100</f>
        <v>35.930446299879229</v>
      </c>
    </row>
    <row r="8" spans="1:10" x14ac:dyDescent="0.2">
      <c r="A8" s="45" t="s">
        <v>15</v>
      </c>
      <c r="B8" s="44" t="s">
        <v>16</v>
      </c>
      <c r="C8" s="43"/>
      <c r="D8" s="5">
        <f>D9+D16+D19+D22+D28</f>
        <v>501317.36545225291</v>
      </c>
      <c r="E8" s="5">
        <f>E9+E16+E19+E22+E28</f>
        <v>553407.91999999993</v>
      </c>
      <c r="F8" s="5">
        <f>F9+F16+F19+F22+F28</f>
        <v>1506220</v>
      </c>
      <c r="G8" s="5">
        <f>G9+G16+G19+G22+G28</f>
        <v>553407.91999999993</v>
      </c>
      <c r="H8" s="9">
        <f>H9+H16+H19+H22+H28</f>
        <v>952812.08000000007</v>
      </c>
      <c r="I8" s="34">
        <f>(E8/D8)*100</f>
        <v>110.39073412123967</v>
      </c>
      <c r="J8" s="33">
        <f>(E8/F8)*100</f>
        <v>36.741506552827602</v>
      </c>
    </row>
    <row r="9" spans="1:10" x14ac:dyDescent="0.2">
      <c r="A9" s="45" t="s">
        <v>70</v>
      </c>
      <c r="B9" s="44" t="s">
        <v>69</v>
      </c>
      <c r="C9" s="43"/>
      <c r="D9" s="5">
        <f>D10+D12</f>
        <v>455949.75645364652</v>
      </c>
      <c r="E9" s="5">
        <f>E10+E12</f>
        <v>509482.98</v>
      </c>
      <c r="F9" s="5">
        <f>F10+F12</f>
        <v>1098600</v>
      </c>
      <c r="G9" s="5">
        <f>G10+G12</f>
        <v>509482.98</v>
      </c>
      <c r="H9" s="9">
        <f>H10+H12</f>
        <v>589117.02</v>
      </c>
      <c r="I9" s="34">
        <f>(E9/D9)*100</f>
        <v>111.74103567084499</v>
      </c>
      <c r="J9" s="33">
        <f>(E9/F9)*100</f>
        <v>46.375658110322227</v>
      </c>
    </row>
    <row r="10" spans="1:10" x14ac:dyDescent="0.2">
      <c r="A10" s="45" t="s">
        <v>68</v>
      </c>
      <c r="B10" s="44" t="s">
        <v>67</v>
      </c>
      <c r="C10" s="43"/>
      <c r="D10" s="5">
        <f>D11</f>
        <v>0</v>
      </c>
      <c r="E10" s="5">
        <f>E11</f>
        <v>0</v>
      </c>
      <c r="F10" s="5">
        <f>F11</f>
        <v>17600</v>
      </c>
      <c r="G10" s="5">
        <f>G11</f>
        <v>0</v>
      </c>
      <c r="H10" s="9">
        <f>H11</f>
        <v>17600</v>
      </c>
      <c r="I10" s="34"/>
      <c r="J10" s="33">
        <f>(E10/F10)*100</f>
        <v>0</v>
      </c>
    </row>
    <row r="11" spans="1:10" x14ac:dyDescent="0.2">
      <c r="A11" s="45" t="s">
        <v>66</v>
      </c>
      <c r="B11" s="44" t="s">
        <v>65</v>
      </c>
      <c r="C11" s="43"/>
      <c r="D11" s="36">
        <v>0</v>
      </c>
      <c r="E11" s="5">
        <v>0</v>
      </c>
      <c r="F11" s="5">
        <v>17600</v>
      </c>
      <c r="G11" s="5">
        <v>0</v>
      </c>
      <c r="H11" s="9">
        <f>F11-G11</f>
        <v>17600</v>
      </c>
      <c r="I11" s="34"/>
      <c r="J11" s="33">
        <f>(E11/F11)*100</f>
        <v>0</v>
      </c>
    </row>
    <row r="12" spans="1:10" x14ac:dyDescent="0.2">
      <c r="A12" s="45" t="s">
        <v>64</v>
      </c>
      <c r="B12" s="44" t="s">
        <v>63</v>
      </c>
      <c r="C12" s="43"/>
      <c r="D12" s="5">
        <f>D13</f>
        <v>455949.75645364652</v>
      </c>
      <c r="E12" s="5">
        <f>E13</f>
        <v>509482.98</v>
      </c>
      <c r="F12" s="5">
        <f>F13</f>
        <v>1081000</v>
      </c>
      <c r="G12" s="5">
        <f>G13</f>
        <v>509482.98</v>
      </c>
      <c r="H12" s="9">
        <f>H13</f>
        <v>571517.02</v>
      </c>
      <c r="I12" s="34">
        <f>(E12/D12)*100</f>
        <v>111.74103567084499</v>
      </c>
      <c r="J12" s="33">
        <f>(E12/F12)*100</f>
        <v>47.130710453283996</v>
      </c>
    </row>
    <row r="13" spans="1:10" x14ac:dyDescent="0.2">
      <c r="A13" s="45" t="s">
        <v>62</v>
      </c>
      <c r="B13" s="44" t="s">
        <v>61</v>
      </c>
      <c r="C13" s="43"/>
      <c r="D13" s="5">
        <f>3435353.44/7.5345</f>
        <v>455949.75645364652</v>
      </c>
      <c r="E13" s="5">
        <v>509482.98</v>
      </c>
      <c r="F13" s="5">
        <v>1081000</v>
      </c>
      <c r="G13" s="5">
        <v>509482.98</v>
      </c>
      <c r="H13" s="9">
        <f>F13-G13</f>
        <v>571517.02</v>
      </c>
      <c r="I13" s="34">
        <f>(E13/D13)*100</f>
        <v>111.74103567084499</v>
      </c>
      <c r="J13" s="33">
        <f>(E13/F13)*100</f>
        <v>47.130710453283996</v>
      </c>
    </row>
    <row r="14" spans="1:10" x14ac:dyDescent="0.2">
      <c r="A14" s="45" t="s">
        <v>60</v>
      </c>
      <c r="B14" s="44" t="s">
        <v>59</v>
      </c>
      <c r="C14" s="43"/>
      <c r="D14" s="36">
        <v>0</v>
      </c>
      <c r="E14" s="5">
        <v>0</v>
      </c>
      <c r="F14" s="5">
        <v>0</v>
      </c>
      <c r="G14" s="5">
        <v>0</v>
      </c>
      <c r="H14" s="9">
        <v>0</v>
      </c>
      <c r="I14" s="34"/>
      <c r="J14" s="33"/>
    </row>
    <row r="15" spans="1:10" x14ac:dyDescent="0.2">
      <c r="A15" s="45" t="s">
        <v>58</v>
      </c>
      <c r="B15" s="44" t="s">
        <v>57</v>
      </c>
      <c r="C15" s="43"/>
      <c r="D15" s="36">
        <v>0</v>
      </c>
      <c r="E15" s="5">
        <v>0</v>
      </c>
      <c r="F15" s="5">
        <v>0</v>
      </c>
      <c r="G15" s="5">
        <v>0</v>
      </c>
      <c r="H15" s="9">
        <v>0</v>
      </c>
      <c r="I15" s="34"/>
      <c r="J15" s="33"/>
    </row>
    <row r="16" spans="1:10" x14ac:dyDescent="0.2">
      <c r="A16" s="45" t="s">
        <v>56</v>
      </c>
      <c r="B16" s="44" t="s">
        <v>55</v>
      </c>
      <c r="C16" s="43"/>
      <c r="D16" s="36">
        <f>D17</f>
        <v>0.46983874178777618</v>
      </c>
      <c r="E16" s="36">
        <f>E17</f>
        <v>0.01</v>
      </c>
      <c r="F16" s="36">
        <f>F17</f>
        <v>0</v>
      </c>
      <c r="G16" s="36">
        <f>G17</f>
        <v>0.01</v>
      </c>
      <c r="H16" s="35">
        <f>H17</f>
        <v>-0.01</v>
      </c>
      <c r="I16" s="34">
        <f>(E16/D16)*100</f>
        <v>2.1283898305084747</v>
      </c>
      <c r="J16" s="33"/>
    </row>
    <row r="17" spans="1:10" x14ac:dyDescent="0.2">
      <c r="A17" s="45" t="s">
        <v>54</v>
      </c>
      <c r="B17" s="44" t="s">
        <v>53</v>
      </c>
      <c r="C17" s="43"/>
      <c r="D17" s="36">
        <f>D18</f>
        <v>0.46983874178777618</v>
      </c>
      <c r="E17" s="36">
        <f>E18</f>
        <v>0.01</v>
      </c>
      <c r="F17" s="36">
        <f>F18</f>
        <v>0</v>
      </c>
      <c r="G17" s="36">
        <f>G18</f>
        <v>0.01</v>
      </c>
      <c r="H17" s="35">
        <f>H18</f>
        <v>-0.01</v>
      </c>
      <c r="I17" s="34">
        <f>(E17/D17)*100</f>
        <v>2.1283898305084747</v>
      </c>
      <c r="J17" s="33"/>
    </row>
    <row r="18" spans="1:10" x14ac:dyDescent="0.2">
      <c r="A18" s="45" t="s">
        <v>52</v>
      </c>
      <c r="B18" s="44" t="s">
        <v>51</v>
      </c>
      <c r="C18" s="43"/>
      <c r="D18" s="36">
        <f>3.54/7.5345</f>
        <v>0.46983874178777618</v>
      </c>
      <c r="E18" s="5">
        <v>0.01</v>
      </c>
      <c r="F18" s="5">
        <v>0</v>
      </c>
      <c r="G18" s="5">
        <v>0.01</v>
      </c>
      <c r="H18" s="9">
        <f>F18-G18</f>
        <v>-0.01</v>
      </c>
      <c r="I18" s="34">
        <f>(E18/D18)*100</f>
        <v>2.1283898305084747</v>
      </c>
      <c r="J18" s="33"/>
    </row>
    <row r="19" spans="1:10" x14ac:dyDescent="0.2">
      <c r="A19" s="45" t="s">
        <v>50</v>
      </c>
      <c r="B19" s="44" t="s">
        <v>49</v>
      </c>
      <c r="C19" s="43"/>
      <c r="D19" s="5">
        <f>D20</f>
        <v>1537.4875572367112</v>
      </c>
      <c r="E19" s="5">
        <f>E20</f>
        <v>8057.48</v>
      </c>
      <c r="F19" s="5">
        <f>F20</f>
        <v>3000</v>
      </c>
      <c r="G19" s="5">
        <f>G20</f>
        <v>8057.48</v>
      </c>
      <c r="H19" s="9">
        <f>H20</f>
        <v>-5057.4799999999996</v>
      </c>
      <c r="I19" s="34">
        <f>(E19/D19)*100</f>
        <v>524.06798104314487</v>
      </c>
      <c r="J19" s="33">
        <f>(E19/F19)*100</f>
        <v>268.58266666666663</v>
      </c>
    </row>
    <row r="20" spans="1:10" x14ac:dyDescent="0.2">
      <c r="A20" s="45" t="s">
        <v>48</v>
      </c>
      <c r="B20" s="44" t="s">
        <v>47</v>
      </c>
      <c r="C20" s="43"/>
      <c r="D20" s="5">
        <f>D21</f>
        <v>1537.4875572367112</v>
      </c>
      <c r="E20" s="5">
        <f>E21</f>
        <v>8057.48</v>
      </c>
      <c r="F20" s="5">
        <f>F21</f>
        <v>3000</v>
      </c>
      <c r="G20" s="5">
        <f>G21</f>
        <v>8057.48</v>
      </c>
      <c r="H20" s="9">
        <f>H21</f>
        <v>-5057.4799999999996</v>
      </c>
      <c r="I20" s="34">
        <f>(E20/D20)*100</f>
        <v>524.06798104314487</v>
      </c>
      <c r="J20" s="33">
        <f>(E20/F20)*100</f>
        <v>268.58266666666663</v>
      </c>
    </row>
    <row r="21" spans="1:10" x14ac:dyDescent="0.2">
      <c r="A21" s="45" t="s">
        <v>46</v>
      </c>
      <c r="B21" s="44" t="s">
        <v>45</v>
      </c>
      <c r="C21" s="43"/>
      <c r="D21" s="5">
        <f>11584.2/7.5345</f>
        <v>1537.4875572367112</v>
      </c>
      <c r="E21" s="5">
        <v>8057.48</v>
      </c>
      <c r="F21" s="5">
        <v>3000</v>
      </c>
      <c r="G21" s="5">
        <v>8057.48</v>
      </c>
      <c r="H21" s="9">
        <f>F21-G21</f>
        <v>-5057.4799999999996</v>
      </c>
      <c r="I21" s="34">
        <f>(E21/D21)*100</f>
        <v>524.06798104314487</v>
      </c>
      <c r="J21" s="33">
        <f>(E21/F21)*100</f>
        <v>268.58266666666663</v>
      </c>
    </row>
    <row r="22" spans="1:10" x14ac:dyDescent="0.2">
      <c r="A22" s="45" t="s">
        <v>44</v>
      </c>
      <c r="B22" s="44" t="s">
        <v>43</v>
      </c>
      <c r="C22" s="43"/>
      <c r="D22" s="5">
        <f>D23+D25</f>
        <v>53.089123365850419</v>
      </c>
      <c r="E22" s="5">
        <f>E23+E25</f>
        <v>4785.66</v>
      </c>
      <c r="F22" s="5">
        <f>F23+F25</f>
        <v>20100</v>
      </c>
      <c r="G22" s="5">
        <f>G23+G25</f>
        <v>4785.66</v>
      </c>
      <c r="H22" s="9">
        <f>H23+H25</f>
        <v>15314.34</v>
      </c>
      <c r="I22" s="34">
        <f>(E22/D22)*100</f>
        <v>9014.3888174999993</v>
      </c>
      <c r="J22" s="33">
        <f>(E22/F22)*100</f>
        <v>23.809253731343283</v>
      </c>
    </row>
    <row r="23" spans="1:10" x14ac:dyDescent="0.2">
      <c r="A23" s="45" t="s">
        <v>42</v>
      </c>
      <c r="B23" s="44" t="s">
        <v>41</v>
      </c>
      <c r="C23" s="43"/>
      <c r="D23" s="36">
        <f>D24</f>
        <v>0</v>
      </c>
      <c r="E23" s="5">
        <v>0</v>
      </c>
      <c r="F23" s="5">
        <v>3400</v>
      </c>
      <c r="G23" s="5">
        <v>0</v>
      </c>
      <c r="H23" s="9">
        <v>3400</v>
      </c>
      <c r="I23" s="34"/>
      <c r="J23" s="33">
        <f>(E23/F23)*100</f>
        <v>0</v>
      </c>
    </row>
    <row r="24" spans="1:10" x14ac:dyDescent="0.2">
      <c r="A24" s="45" t="s">
        <v>40</v>
      </c>
      <c r="B24" s="44" t="s">
        <v>39</v>
      </c>
      <c r="C24" s="43"/>
      <c r="D24" s="36">
        <v>0</v>
      </c>
      <c r="E24" s="5">
        <v>0</v>
      </c>
      <c r="F24" s="5">
        <v>3400</v>
      </c>
      <c r="G24" s="5">
        <v>0</v>
      </c>
      <c r="H24" s="9">
        <f>F24-G24</f>
        <v>3400</v>
      </c>
      <c r="I24" s="34"/>
      <c r="J24" s="33">
        <f>(E24/F24)*100</f>
        <v>0</v>
      </c>
    </row>
    <row r="25" spans="1:10" ht="14.25" customHeight="1" x14ac:dyDescent="0.2">
      <c r="A25" s="45" t="s">
        <v>38</v>
      </c>
      <c r="B25" s="44" t="s">
        <v>37</v>
      </c>
      <c r="C25" s="43"/>
      <c r="D25" s="5">
        <f>D26+D27</f>
        <v>53.089123365850419</v>
      </c>
      <c r="E25" s="5">
        <f>E26+E27</f>
        <v>4785.66</v>
      </c>
      <c r="F25" s="5">
        <f>F26+F27</f>
        <v>16700</v>
      </c>
      <c r="G25" s="5">
        <f>G26+G27</f>
        <v>4785.66</v>
      </c>
      <c r="H25" s="9">
        <f>H26+H27</f>
        <v>11914.34</v>
      </c>
      <c r="I25" s="34">
        <f>(E25/D25)*100</f>
        <v>9014.3888174999993</v>
      </c>
      <c r="J25" s="33">
        <f>(E25/F25)*100</f>
        <v>28.656646706586823</v>
      </c>
    </row>
    <row r="26" spans="1:10" x14ac:dyDescent="0.2">
      <c r="A26" s="45" t="s">
        <v>36</v>
      </c>
      <c r="B26" s="44" t="s">
        <v>35</v>
      </c>
      <c r="C26" s="43"/>
      <c r="D26" s="5">
        <f>400/7.5345</f>
        <v>53.089123365850419</v>
      </c>
      <c r="E26" s="5">
        <v>4785.66</v>
      </c>
      <c r="F26" s="5">
        <v>16000</v>
      </c>
      <c r="G26" s="5">
        <v>4785.66</v>
      </c>
      <c r="H26" s="9">
        <f>F26-G26</f>
        <v>11214.34</v>
      </c>
      <c r="I26" s="34">
        <f>(E26/D26)*100</f>
        <v>9014.3888174999993</v>
      </c>
      <c r="J26" s="33">
        <f>(E26/F26)*100</f>
        <v>29.910375000000002</v>
      </c>
    </row>
    <row r="27" spans="1:10" x14ac:dyDescent="0.2">
      <c r="A27" s="45" t="s">
        <v>34</v>
      </c>
      <c r="B27" s="44" t="s">
        <v>33</v>
      </c>
      <c r="C27" s="43"/>
      <c r="D27" s="36">
        <v>0</v>
      </c>
      <c r="E27" s="5">
        <v>0</v>
      </c>
      <c r="F27" s="5">
        <v>700</v>
      </c>
      <c r="G27" s="5">
        <v>0</v>
      </c>
      <c r="H27" s="9">
        <f>F27-G27</f>
        <v>700</v>
      </c>
      <c r="I27" s="34"/>
      <c r="J27" s="33">
        <f>(E27/F27)*100</f>
        <v>0</v>
      </c>
    </row>
    <row r="28" spans="1:10" x14ac:dyDescent="0.2">
      <c r="A28" s="42">
        <v>67</v>
      </c>
      <c r="B28" s="41" t="s">
        <v>32</v>
      </c>
      <c r="C28" s="40"/>
      <c r="D28" s="5">
        <f>D29</f>
        <v>43776.562479262058</v>
      </c>
      <c r="E28" s="5">
        <f>E29</f>
        <v>31081.79</v>
      </c>
      <c r="F28" s="5">
        <f>F29</f>
        <v>384520</v>
      </c>
      <c r="G28" s="5">
        <f>G29</f>
        <v>31081.79</v>
      </c>
      <c r="H28" s="9">
        <f>H29</f>
        <v>353438.21</v>
      </c>
      <c r="I28" s="34">
        <f>(E28/D28)*100</f>
        <v>71.000983722109623</v>
      </c>
      <c r="J28" s="33">
        <f>(E28/F28)*100</f>
        <v>8.0832700509726418</v>
      </c>
    </row>
    <row r="29" spans="1:10" x14ac:dyDescent="0.2">
      <c r="A29" s="42">
        <v>671</v>
      </c>
      <c r="B29" s="41" t="s">
        <v>31</v>
      </c>
      <c r="C29" s="40"/>
      <c r="D29" s="5">
        <f>D30+D31</f>
        <v>43776.562479262058</v>
      </c>
      <c r="E29" s="5">
        <f>E30+E31</f>
        <v>31081.79</v>
      </c>
      <c r="F29" s="5">
        <f>F30+F31</f>
        <v>384520</v>
      </c>
      <c r="G29" s="5">
        <f>G30+G31</f>
        <v>31081.79</v>
      </c>
      <c r="H29" s="9">
        <f>H30+H31</f>
        <v>353438.21</v>
      </c>
      <c r="I29" s="34">
        <f>(E29/D29)*100</f>
        <v>71.000983722109623</v>
      </c>
      <c r="J29" s="33">
        <f>(E29/F29)*100</f>
        <v>8.0832700509726418</v>
      </c>
    </row>
    <row r="30" spans="1:10" x14ac:dyDescent="0.2">
      <c r="A30" s="39">
        <v>6711</v>
      </c>
      <c r="B30" s="40" t="s">
        <v>30</v>
      </c>
      <c r="C30" s="40"/>
      <c r="D30" s="36">
        <f>329834.51/7.5345</f>
        <v>43776.562479262058</v>
      </c>
      <c r="E30" s="36">
        <v>27100.11</v>
      </c>
      <c r="F30" s="36">
        <v>309490</v>
      </c>
      <c r="G30" s="36">
        <v>27100.11</v>
      </c>
      <c r="H30" s="35">
        <f>F30-G30</f>
        <v>282389.89</v>
      </c>
      <c r="I30" s="34">
        <f>(E30/D30)*100</f>
        <v>61.90552310460177</v>
      </c>
      <c r="J30" s="33">
        <f>(E30/F30)*100</f>
        <v>8.7563766195999868</v>
      </c>
    </row>
    <row r="31" spans="1:10" x14ac:dyDescent="0.2">
      <c r="A31" s="39">
        <v>6712</v>
      </c>
      <c r="B31" s="40" t="s">
        <v>29</v>
      </c>
      <c r="C31" s="40"/>
      <c r="D31" s="36">
        <v>0</v>
      </c>
      <c r="E31" s="36">
        <v>3981.68</v>
      </c>
      <c r="F31" s="36">
        <v>75030</v>
      </c>
      <c r="G31" s="36">
        <v>3981.68</v>
      </c>
      <c r="H31" s="35">
        <f>F31-G31</f>
        <v>71048.320000000007</v>
      </c>
      <c r="I31" s="34"/>
      <c r="J31" s="33">
        <f>(E31/F31)*100</f>
        <v>5.3067839530854322</v>
      </c>
    </row>
    <row r="32" spans="1:10" x14ac:dyDescent="0.2">
      <c r="A32" s="39">
        <v>9221</v>
      </c>
      <c r="B32" s="38" t="s">
        <v>28</v>
      </c>
      <c r="C32" s="37"/>
      <c r="D32" s="36">
        <f>61662.69/7.5345</f>
        <v>8184.0453912004778</v>
      </c>
      <c r="E32" s="36">
        <v>0</v>
      </c>
      <c r="F32" s="36">
        <v>34000</v>
      </c>
      <c r="G32" s="36">
        <v>0</v>
      </c>
      <c r="H32" s="35">
        <v>34000</v>
      </c>
      <c r="I32" s="34">
        <f>(E32/D32)*100</f>
        <v>0</v>
      </c>
      <c r="J32" s="33">
        <f>(E32/F32)*100</f>
        <v>0</v>
      </c>
    </row>
  </sheetData>
  <mergeCells count="28">
    <mergeCell ref="B32:C32"/>
    <mergeCell ref="B6:C6"/>
    <mergeCell ref="B8:C8"/>
    <mergeCell ref="B7:C7"/>
    <mergeCell ref="B10:C10"/>
    <mergeCell ref="B9:C9"/>
    <mergeCell ref="B12:C12"/>
    <mergeCell ref="B11:C11"/>
    <mergeCell ref="B14:C14"/>
    <mergeCell ref="B13:C13"/>
    <mergeCell ref="B26:C26"/>
    <mergeCell ref="B25:C25"/>
    <mergeCell ref="B16:C16"/>
    <mergeCell ref="B15:C15"/>
    <mergeCell ref="B18:C18"/>
    <mergeCell ref="B17:C17"/>
    <mergeCell ref="B20:C20"/>
    <mergeCell ref="B19:C19"/>
    <mergeCell ref="B27:C27"/>
    <mergeCell ref="C4:F4"/>
    <mergeCell ref="A5:C5"/>
    <mergeCell ref="A1:C1"/>
    <mergeCell ref="A2:C2"/>
    <mergeCell ref="A3:C3"/>
    <mergeCell ref="B22:C22"/>
    <mergeCell ref="B21:C21"/>
    <mergeCell ref="B24:C24"/>
    <mergeCell ref="B23:C23"/>
  </mergeCells>
  <pageMargins left="0" right="0" top="0" bottom="0.39375000000000004" header="0" footer="0"/>
  <pageSetup paperSize="9" scale="87" fitToHeight="0" orientation="landscape" r:id="rId1"/>
  <headerFooter alignWithMargins="0">
    <oddFooter xml:space="preserve">&amp;L&amp;"Arial"&amp;8 Lista: LCW148RBPR &amp;C&amp;"Arial"&amp;8 Stranica 
&amp;B&amp;P&amp;B &amp;R&amp;"Arial"&amp;8 * OBRADA LC *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78"/>
  <sheetViews>
    <sheetView showGridLines="0" workbookViewId="0">
      <pane ySplit="1" topLeftCell="A2" activePane="bottomLeft" state="frozenSplit"/>
      <selection pane="bottomLeft" activeCell="T23" sqref="T23"/>
    </sheetView>
  </sheetViews>
  <sheetFormatPr defaultRowHeight="12.75" x14ac:dyDescent="0.2"/>
  <cols>
    <col min="1" max="1" width="1.28515625" customWidth="1"/>
    <col min="2" max="2" width="11.5703125" customWidth="1"/>
    <col min="3" max="3" width="14.28515625" customWidth="1"/>
    <col min="4" max="4" width="6.28515625" customWidth="1"/>
    <col min="5" max="5" width="4" customWidth="1"/>
    <col min="6" max="6" width="28.42578125" customWidth="1"/>
    <col min="7" max="7" width="12.140625" customWidth="1"/>
    <col min="8" max="8" width="14.140625" customWidth="1"/>
    <col min="9" max="9" width="12" customWidth="1"/>
    <col min="10" max="10" width="0.140625" customWidth="1"/>
    <col min="11" max="11" width="7" customWidth="1"/>
    <col min="12" max="12" width="0.85546875" customWidth="1"/>
    <col min="13" max="13" width="3.28515625" customWidth="1"/>
    <col min="14" max="14" width="10.28515625" customWidth="1"/>
    <col min="15" max="15" width="0.5703125" customWidth="1"/>
    <col min="16" max="16" width="0" hidden="1" customWidth="1"/>
    <col min="17" max="17" width="11.5703125" customWidth="1"/>
    <col min="18" max="18" width="12.42578125" customWidth="1"/>
  </cols>
  <sheetData>
    <row r="1" spans="2:18" x14ac:dyDescent="0.2">
      <c r="B1" s="18" t="s">
        <v>0</v>
      </c>
      <c r="C1" s="19"/>
      <c r="D1" s="19"/>
      <c r="E1" s="19"/>
      <c r="F1" s="19"/>
    </row>
    <row r="2" spans="2:18" x14ac:dyDescent="0.2">
      <c r="B2" s="18" t="s">
        <v>1</v>
      </c>
      <c r="C2" s="19"/>
      <c r="D2" s="19"/>
      <c r="E2" s="19"/>
      <c r="J2" s="19"/>
      <c r="K2" s="19"/>
      <c r="M2" s="19"/>
      <c r="N2" s="19"/>
    </row>
    <row r="3" spans="2:18" x14ac:dyDescent="0.2">
      <c r="B3" s="18" t="s">
        <v>2</v>
      </c>
      <c r="C3" s="19"/>
      <c r="D3" s="19"/>
      <c r="J3" s="19"/>
      <c r="K3" s="19"/>
      <c r="M3" s="19"/>
      <c r="N3" s="19"/>
    </row>
    <row r="4" spans="2:18" ht="11.1" customHeight="1" x14ac:dyDescent="0.2"/>
    <row r="5" spans="2:18" ht="18" customHeight="1" x14ac:dyDescent="0.2">
      <c r="D5" s="28" t="s">
        <v>202</v>
      </c>
      <c r="E5" s="19"/>
      <c r="F5" s="19"/>
      <c r="G5" s="19"/>
      <c r="H5" s="19"/>
      <c r="I5" s="19"/>
      <c r="J5" s="19"/>
    </row>
    <row r="6" spans="2:18" ht="5.0999999999999996" customHeight="1" thickBot="1" x14ac:dyDescent="0.25"/>
    <row r="7" spans="2:18" ht="42.75" customHeight="1" thickTop="1" thickBot="1" x14ac:dyDescent="0.25">
      <c r="B7" s="16" t="s">
        <v>3</v>
      </c>
      <c r="C7" s="17"/>
      <c r="D7" s="17"/>
      <c r="E7" s="17"/>
      <c r="F7" s="17"/>
      <c r="G7" s="2" t="s">
        <v>4</v>
      </c>
      <c r="H7" s="1" t="s">
        <v>24</v>
      </c>
      <c r="I7" s="1" t="s">
        <v>25</v>
      </c>
      <c r="J7" s="10"/>
      <c r="K7" s="16" t="s">
        <v>5</v>
      </c>
      <c r="L7" s="17"/>
      <c r="M7" s="17"/>
      <c r="N7" s="16" t="s">
        <v>6</v>
      </c>
      <c r="O7" s="17"/>
      <c r="Q7" s="12" t="s">
        <v>26</v>
      </c>
      <c r="R7" s="13" t="s">
        <v>27</v>
      </c>
    </row>
    <row r="8" spans="2:18" ht="14.25" thickTop="1" thickBot="1" x14ac:dyDescent="0.25">
      <c r="B8" s="1" t="s">
        <v>7</v>
      </c>
      <c r="C8" s="16" t="s">
        <v>8</v>
      </c>
      <c r="D8" s="17"/>
      <c r="E8" s="17"/>
      <c r="F8" s="17"/>
      <c r="G8" s="1" t="s">
        <v>9</v>
      </c>
      <c r="H8" s="1"/>
      <c r="I8" s="1" t="s">
        <v>10</v>
      </c>
      <c r="J8" s="10"/>
      <c r="K8" s="16" t="s">
        <v>12</v>
      </c>
      <c r="L8" s="17"/>
      <c r="M8" s="17"/>
      <c r="N8" s="16" t="s">
        <v>13</v>
      </c>
      <c r="O8" s="17"/>
      <c r="Q8" s="14"/>
      <c r="R8" s="14"/>
    </row>
    <row r="9" spans="2:18" ht="13.5" thickTop="1" x14ac:dyDescent="0.2">
      <c r="B9" s="3"/>
      <c r="C9" s="24" t="s">
        <v>19</v>
      </c>
      <c r="D9" s="19"/>
      <c r="E9" s="19"/>
      <c r="F9" s="19"/>
      <c r="G9" s="4">
        <v>1540220</v>
      </c>
      <c r="H9" s="4">
        <f>H10+H64</f>
        <v>510684.80854734883</v>
      </c>
      <c r="I9" s="4">
        <v>583939.94999999995</v>
      </c>
      <c r="J9" s="57"/>
      <c r="K9" s="25">
        <v>583939.94999999995</v>
      </c>
      <c r="L9" s="55"/>
      <c r="M9" s="55"/>
      <c r="N9" s="25">
        <v>956280.05</v>
      </c>
      <c r="O9" s="55"/>
      <c r="Q9" s="63">
        <f>(I9/H9)*100</f>
        <v>114.34449198930091</v>
      </c>
      <c r="R9" s="63">
        <f>(I9/G9)*100</f>
        <v>37.912762462505356</v>
      </c>
    </row>
    <row r="10" spans="2:18" x14ac:dyDescent="0.2">
      <c r="B10" s="60" t="s">
        <v>20</v>
      </c>
      <c r="C10" s="59" t="s">
        <v>21</v>
      </c>
      <c r="D10" s="19"/>
      <c r="E10" s="19"/>
      <c r="F10" s="19"/>
      <c r="G10" s="58">
        <v>1215950</v>
      </c>
      <c r="H10" s="58">
        <f>H11+H21+H52+H57+H61</f>
        <v>509257.35483442829</v>
      </c>
      <c r="I10" s="58">
        <v>577147.03</v>
      </c>
      <c r="J10" s="57"/>
      <c r="K10" s="56">
        <v>577147.03</v>
      </c>
      <c r="L10" s="55"/>
      <c r="M10" s="55"/>
      <c r="N10" s="56">
        <v>638802.97</v>
      </c>
      <c r="O10" s="55"/>
      <c r="Q10" s="54">
        <f>(I10/H10)*100</f>
        <v>113.3311133400605</v>
      </c>
      <c r="R10" s="54">
        <f>(I10/G10)*100</f>
        <v>47.464700851186322</v>
      </c>
    </row>
    <row r="11" spans="2:18" x14ac:dyDescent="0.2">
      <c r="B11" s="60" t="s">
        <v>201</v>
      </c>
      <c r="C11" s="59" t="s">
        <v>200</v>
      </c>
      <c r="D11" s="19"/>
      <c r="E11" s="19"/>
      <c r="F11" s="19"/>
      <c r="G11" s="58">
        <v>1094970</v>
      </c>
      <c r="H11" s="58">
        <f>H12+H16+H18</f>
        <v>462343.40832172008</v>
      </c>
      <c r="I11" s="58">
        <v>515022.7</v>
      </c>
      <c r="J11" s="57"/>
      <c r="K11" s="56">
        <v>515022.7</v>
      </c>
      <c r="L11" s="55"/>
      <c r="M11" s="55"/>
      <c r="N11" s="56">
        <v>579947.30000000005</v>
      </c>
      <c r="O11" s="55"/>
      <c r="Q11" s="54">
        <f>(I11/H11)*100</f>
        <v>111.39397485291349</v>
      </c>
      <c r="R11" s="54">
        <f>(I11/G11)*100</f>
        <v>47.035325168726082</v>
      </c>
    </row>
    <row r="12" spans="2:18" x14ac:dyDescent="0.2">
      <c r="B12" s="60" t="s">
        <v>199</v>
      </c>
      <c r="C12" s="59" t="s">
        <v>198</v>
      </c>
      <c r="D12" s="19"/>
      <c r="E12" s="19"/>
      <c r="F12" s="19"/>
      <c r="G12" s="58">
        <v>918720</v>
      </c>
      <c r="H12" s="58">
        <f>H13+H14+H15</f>
        <v>383710.86070741259</v>
      </c>
      <c r="I12" s="58">
        <v>428642.15</v>
      </c>
      <c r="J12" s="57"/>
      <c r="K12" s="56">
        <v>428642.15</v>
      </c>
      <c r="L12" s="55"/>
      <c r="M12" s="55"/>
      <c r="N12" s="56">
        <v>490077.85</v>
      </c>
      <c r="O12" s="55"/>
      <c r="Q12" s="54">
        <f>(I12/H12)*100</f>
        <v>111.70967358332045</v>
      </c>
      <c r="R12" s="54">
        <f>(I12/G12)*100</f>
        <v>46.656451367119473</v>
      </c>
    </row>
    <row r="13" spans="2:18" x14ac:dyDescent="0.2">
      <c r="B13" s="60" t="s">
        <v>197</v>
      </c>
      <c r="C13" s="59" t="s">
        <v>196</v>
      </c>
      <c r="D13" s="19"/>
      <c r="E13" s="19"/>
      <c r="F13" s="19"/>
      <c r="G13" s="58">
        <v>878720</v>
      </c>
      <c r="H13" s="57">
        <f>2754272.41/(7.5345)</f>
        <v>365554.76939412038</v>
      </c>
      <c r="I13" s="58">
        <v>407884.2</v>
      </c>
      <c r="J13" s="57"/>
      <c r="K13" s="56">
        <v>407884.2</v>
      </c>
      <c r="L13" s="55"/>
      <c r="M13" s="55"/>
      <c r="N13" s="56">
        <v>470835.8</v>
      </c>
      <c r="O13" s="55"/>
      <c r="Q13" s="54">
        <f>(I13/H13)*100</f>
        <v>111.57950439985709</v>
      </c>
      <c r="R13" s="54">
        <f>(I13/G13)*100</f>
        <v>46.417994355426075</v>
      </c>
    </row>
    <row r="14" spans="2:18" x14ac:dyDescent="0.2">
      <c r="B14" s="60" t="s">
        <v>195</v>
      </c>
      <c r="C14" s="59" t="s">
        <v>194</v>
      </c>
      <c r="D14" s="19"/>
      <c r="E14" s="19"/>
      <c r="F14" s="19"/>
      <c r="G14" s="58">
        <v>15000</v>
      </c>
      <c r="H14" s="57">
        <f>52622.88/(7.5345)</f>
        <v>6984.2564204658565</v>
      </c>
      <c r="I14" s="58">
        <v>7859.28</v>
      </c>
      <c r="J14" s="57"/>
      <c r="K14" s="56">
        <v>7859.28</v>
      </c>
      <c r="L14" s="55"/>
      <c r="M14" s="55"/>
      <c r="N14" s="56">
        <v>7140.72</v>
      </c>
      <c r="O14" s="55"/>
      <c r="Q14" s="54">
        <f>(I14/H14)*100</f>
        <v>112.52851451687935</v>
      </c>
      <c r="R14" s="54">
        <f>(I14/G14)*100</f>
        <v>52.395199999999996</v>
      </c>
    </row>
    <row r="15" spans="2:18" x14ac:dyDescent="0.2">
      <c r="B15" s="60" t="s">
        <v>193</v>
      </c>
      <c r="C15" s="59" t="s">
        <v>192</v>
      </c>
      <c r="D15" s="19"/>
      <c r="E15" s="19"/>
      <c r="F15" s="19"/>
      <c r="G15" s="58">
        <v>25000</v>
      </c>
      <c r="H15" s="57">
        <f>84174.19/(7.5345)</f>
        <v>11171.834892826331</v>
      </c>
      <c r="I15" s="58">
        <v>12898.67</v>
      </c>
      <c r="J15" s="57"/>
      <c r="K15" s="56">
        <v>12898.67</v>
      </c>
      <c r="L15" s="55"/>
      <c r="M15" s="55"/>
      <c r="N15" s="56">
        <v>12101.33</v>
      </c>
      <c r="O15" s="55"/>
      <c r="Q15" s="54">
        <f>(I15/H15)*100</f>
        <v>115.45704106567585</v>
      </c>
      <c r="R15" s="54">
        <f>(I15/G15)*100</f>
        <v>51.594680000000004</v>
      </c>
    </row>
    <row r="16" spans="2:18" x14ac:dyDescent="0.2">
      <c r="B16" s="60" t="s">
        <v>191</v>
      </c>
      <c r="C16" s="59" t="s">
        <v>189</v>
      </c>
      <c r="D16" s="19"/>
      <c r="E16" s="19"/>
      <c r="F16" s="19"/>
      <c r="G16" s="58">
        <v>25800</v>
      </c>
      <c r="H16" s="58">
        <f>H17</f>
        <v>15238.554648616364</v>
      </c>
      <c r="I16" s="58">
        <v>15645.24</v>
      </c>
      <c r="J16" s="57"/>
      <c r="K16" s="56">
        <v>15645.24</v>
      </c>
      <c r="L16" s="55"/>
      <c r="M16" s="55"/>
      <c r="N16" s="56">
        <v>10154.76</v>
      </c>
      <c r="O16" s="55"/>
      <c r="Q16" s="54">
        <f>(I16/H16)*100</f>
        <v>102.66879215753289</v>
      </c>
      <c r="R16" s="54">
        <f>(I16/G16)*100</f>
        <v>60.640465116279074</v>
      </c>
    </row>
    <row r="17" spans="2:18" x14ac:dyDescent="0.2">
      <c r="B17" s="60" t="s">
        <v>190</v>
      </c>
      <c r="C17" s="59" t="s">
        <v>189</v>
      </c>
      <c r="D17" s="19"/>
      <c r="E17" s="19"/>
      <c r="F17" s="19"/>
      <c r="G17" s="58">
        <v>25800</v>
      </c>
      <c r="H17" s="57">
        <f>114814.89/(7.5345)</f>
        <v>15238.554648616364</v>
      </c>
      <c r="I17" s="58">
        <v>15645.24</v>
      </c>
      <c r="J17" s="57"/>
      <c r="K17" s="56">
        <v>15645.24</v>
      </c>
      <c r="L17" s="55"/>
      <c r="M17" s="55"/>
      <c r="N17" s="56">
        <v>10154.76</v>
      </c>
      <c r="O17" s="55"/>
      <c r="Q17" s="54">
        <f>(I17/H17)*100</f>
        <v>102.66879215753289</v>
      </c>
      <c r="R17" s="54">
        <f>(I17/G17)*100</f>
        <v>60.640465116279074</v>
      </c>
    </row>
    <row r="18" spans="2:18" x14ac:dyDescent="0.2">
      <c r="B18" s="60" t="s">
        <v>188</v>
      </c>
      <c r="C18" s="59" t="s">
        <v>187</v>
      </c>
      <c r="D18" s="19"/>
      <c r="E18" s="19"/>
      <c r="F18" s="19"/>
      <c r="G18" s="58">
        <v>150450</v>
      </c>
      <c r="H18" s="58">
        <f>H19+H20</f>
        <v>63393.992965691148</v>
      </c>
      <c r="I18" s="58">
        <v>70735.31</v>
      </c>
      <c r="J18" s="57"/>
      <c r="K18" s="56">
        <v>70735.31</v>
      </c>
      <c r="L18" s="55"/>
      <c r="M18" s="55"/>
      <c r="N18" s="56">
        <v>79714.69</v>
      </c>
      <c r="O18" s="55"/>
      <c r="Q18" s="54">
        <f>(I18/H18)*100</f>
        <v>111.58046163503532</v>
      </c>
      <c r="R18" s="54">
        <f>(I18/G18)*100</f>
        <v>47.015825855766039</v>
      </c>
    </row>
    <row r="19" spans="2:18" x14ac:dyDescent="0.2">
      <c r="B19" s="60" t="s">
        <v>186</v>
      </c>
      <c r="C19" s="59" t="s">
        <v>185</v>
      </c>
      <c r="D19" s="19"/>
      <c r="E19" s="19"/>
      <c r="F19" s="19"/>
      <c r="G19" s="58">
        <v>150450</v>
      </c>
      <c r="H19" s="57">
        <f>477642.04/(7.5345)</f>
        <v>63393.992965691148</v>
      </c>
      <c r="I19" s="58">
        <v>70735.31</v>
      </c>
      <c r="J19" s="57"/>
      <c r="K19" s="56">
        <v>70735.31</v>
      </c>
      <c r="L19" s="55"/>
      <c r="M19" s="55"/>
      <c r="N19" s="56">
        <v>79714.69</v>
      </c>
      <c r="O19" s="55"/>
      <c r="Q19" s="54">
        <f>(I19/H19)*100</f>
        <v>111.58046163503532</v>
      </c>
      <c r="R19" s="54">
        <f>(I19/G19)*100</f>
        <v>47.015825855766039</v>
      </c>
    </row>
    <row r="20" spans="2:18" x14ac:dyDescent="0.2">
      <c r="B20" s="62">
        <v>3133</v>
      </c>
      <c r="C20" s="61" t="s">
        <v>184</v>
      </c>
      <c r="G20" s="58"/>
      <c r="H20" s="57">
        <f>0/(7.5345)</f>
        <v>0</v>
      </c>
      <c r="I20" s="58"/>
      <c r="J20" s="57"/>
      <c r="K20" s="58"/>
      <c r="L20" s="57"/>
      <c r="M20" s="57"/>
      <c r="N20" s="58"/>
      <c r="O20" s="57"/>
      <c r="Q20" s="54"/>
      <c r="R20" s="54"/>
    </row>
    <row r="21" spans="2:18" x14ac:dyDescent="0.2">
      <c r="B21" s="60" t="s">
        <v>183</v>
      </c>
      <c r="C21" s="59" t="s">
        <v>182</v>
      </c>
      <c r="D21" s="19"/>
      <c r="E21" s="19"/>
      <c r="F21" s="19"/>
      <c r="G21" s="58">
        <v>118530</v>
      </c>
      <c r="H21" s="58">
        <f>H22+H27+H34+H44</f>
        <v>45481.397571172609</v>
      </c>
      <c r="I21" s="58">
        <v>59764.07</v>
      </c>
      <c r="J21" s="57"/>
      <c r="K21" s="56">
        <v>59764.07</v>
      </c>
      <c r="L21" s="55"/>
      <c r="M21" s="55"/>
      <c r="N21" s="56">
        <v>58765.93</v>
      </c>
      <c r="O21" s="55"/>
      <c r="Q21" s="54">
        <f>(I21/H21)*100</f>
        <v>131.40332793528788</v>
      </c>
      <c r="R21" s="54">
        <f>(I21/G21)*100</f>
        <v>50.421049523327433</v>
      </c>
    </row>
    <row r="22" spans="2:18" x14ac:dyDescent="0.2">
      <c r="B22" s="60" t="s">
        <v>181</v>
      </c>
      <c r="C22" s="59" t="s">
        <v>180</v>
      </c>
      <c r="D22" s="19"/>
      <c r="E22" s="19"/>
      <c r="F22" s="19"/>
      <c r="G22" s="58">
        <v>26330</v>
      </c>
      <c r="H22" s="58">
        <f>H23+H24+H25+H26</f>
        <v>15958.763023425578</v>
      </c>
      <c r="I22" s="58">
        <v>15728.79</v>
      </c>
      <c r="J22" s="57"/>
      <c r="K22" s="56">
        <v>15728.79</v>
      </c>
      <c r="L22" s="55"/>
      <c r="M22" s="55"/>
      <c r="N22" s="56">
        <v>10601.21</v>
      </c>
      <c r="O22" s="55"/>
      <c r="Q22" s="54">
        <f>(I22/H22)*100</f>
        <v>98.558954581329374</v>
      </c>
      <c r="R22" s="54">
        <f>(I22/G22)*100</f>
        <v>59.737143942271175</v>
      </c>
    </row>
    <row r="23" spans="2:18" ht="15" customHeight="1" x14ac:dyDescent="0.2">
      <c r="B23" s="60" t="s">
        <v>179</v>
      </c>
      <c r="C23" s="59" t="s">
        <v>178</v>
      </c>
      <c r="D23" s="19"/>
      <c r="E23" s="19"/>
      <c r="F23" s="19"/>
      <c r="G23" s="58">
        <v>3130</v>
      </c>
      <c r="H23" s="57">
        <f>50175.11/(7.5345)</f>
        <v>6659.3815117127879</v>
      </c>
      <c r="I23" s="58">
        <v>6747.51</v>
      </c>
      <c r="J23" s="57"/>
      <c r="K23" s="56">
        <v>6747.51</v>
      </c>
      <c r="L23" s="55"/>
      <c r="M23" s="55"/>
      <c r="N23" s="56">
        <v>-3617.51</v>
      </c>
      <c r="O23" s="55"/>
      <c r="Q23" s="54">
        <f>(I23/H23)*100</f>
        <v>101.32337347142837</v>
      </c>
      <c r="R23" s="54">
        <f>(I23/G23)*100</f>
        <v>215.57539936102236</v>
      </c>
    </row>
    <row r="24" spans="2:18" x14ac:dyDescent="0.2">
      <c r="B24" s="60" t="s">
        <v>177</v>
      </c>
      <c r="C24" s="59" t="s">
        <v>176</v>
      </c>
      <c r="D24" s="19"/>
      <c r="E24" s="19"/>
      <c r="F24" s="19"/>
      <c r="G24" s="58">
        <v>22240</v>
      </c>
      <c r="H24" s="57">
        <f>69253.69/(7.5345)</f>
        <v>9191.5442298759044</v>
      </c>
      <c r="I24" s="58">
        <v>8951.68</v>
      </c>
      <c r="J24" s="57"/>
      <c r="K24" s="56">
        <v>8951.68</v>
      </c>
      <c r="L24" s="55"/>
      <c r="M24" s="55"/>
      <c r="N24" s="56">
        <v>13288.32</v>
      </c>
      <c r="O24" s="55"/>
      <c r="Q24" s="54">
        <f>(I24/H24)*100</f>
        <v>97.390381595551077</v>
      </c>
      <c r="R24" s="54">
        <f>(I24/G24)*100</f>
        <v>40.250359712230214</v>
      </c>
    </row>
    <row r="25" spans="2:18" x14ac:dyDescent="0.2">
      <c r="B25" s="60" t="s">
        <v>175</v>
      </c>
      <c r="C25" s="59" t="s">
        <v>174</v>
      </c>
      <c r="D25" s="19"/>
      <c r="E25" s="19"/>
      <c r="F25" s="19"/>
      <c r="G25" s="58">
        <v>660</v>
      </c>
      <c r="H25" s="57">
        <f>812.5/(7.5345)</f>
        <v>107.83728183688366</v>
      </c>
      <c r="I25" s="58">
        <v>0</v>
      </c>
      <c r="J25" s="57"/>
      <c r="K25" s="56">
        <v>0</v>
      </c>
      <c r="L25" s="55"/>
      <c r="M25" s="55"/>
      <c r="N25" s="56">
        <v>660</v>
      </c>
      <c r="O25" s="55"/>
      <c r="Q25" s="54">
        <f>(I25/H25)*100</f>
        <v>0</v>
      </c>
      <c r="R25" s="54">
        <f>(I25/G25)*100</f>
        <v>0</v>
      </c>
    </row>
    <row r="26" spans="2:18" x14ac:dyDescent="0.2">
      <c r="B26" s="60" t="s">
        <v>173</v>
      </c>
      <c r="C26" s="59" t="s">
        <v>172</v>
      </c>
      <c r="D26" s="19"/>
      <c r="E26" s="19"/>
      <c r="F26" s="19"/>
      <c r="G26" s="58">
        <v>300</v>
      </c>
      <c r="H26" s="57">
        <f>0/(7.5345)</f>
        <v>0</v>
      </c>
      <c r="I26" s="58">
        <v>29.6</v>
      </c>
      <c r="J26" s="57"/>
      <c r="K26" s="56">
        <v>29.6</v>
      </c>
      <c r="L26" s="55"/>
      <c r="M26" s="55"/>
      <c r="N26" s="56">
        <v>270.39999999999998</v>
      </c>
      <c r="O26" s="55"/>
      <c r="Q26" s="54"/>
      <c r="R26" s="54">
        <f>(I26/G26)*100</f>
        <v>9.8666666666666671</v>
      </c>
    </row>
    <row r="27" spans="2:18" x14ac:dyDescent="0.2">
      <c r="B27" s="60" t="s">
        <v>171</v>
      </c>
      <c r="C27" s="59" t="s">
        <v>170</v>
      </c>
      <c r="D27" s="19"/>
      <c r="E27" s="19"/>
      <c r="F27" s="19"/>
      <c r="G27" s="58">
        <v>18220</v>
      </c>
      <c r="H27" s="58">
        <f>H28+H29+H30+H31+H32+H33</f>
        <v>7346.0654323445478</v>
      </c>
      <c r="I27" s="58">
        <v>8290.11</v>
      </c>
      <c r="J27" s="57"/>
      <c r="K27" s="56">
        <v>8290.11</v>
      </c>
      <c r="L27" s="55"/>
      <c r="M27" s="55"/>
      <c r="N27" s="56">
        <v>9929.89</v>
      </c>
      <c r="O27" s="55"/>
      <c r="Q27" s="54">
        <f>(I27/H27)*100</f>
        <v>112.85102312727638</v>
      </c>
      <c r="R27" s="54">
        <f>(I27/G27)*100</f>
        <v>45.500054884742049</v>
      </c>
    </row>
    <row r="28" spans="2:18" x14ac:dyDescent="0.2">
      <c r="B28" s="60" t="s">
        <v>169</v>
      </c>
      <c r="C28" s="59" t="s">
        <v>168</v>
      </c>
      <c r="D28" s="19"/>
      <c r="E28" s="19"/>
      <c r="F28" s="19"/>
      <c r="G28" s="58">
        <v>6680</v>
      </c>
      <c r="H28" s="57">
        <f>51963.95/(7.5345)</f>
        <v>6896.8013803172071</v>
      </c>
      <c r="I28" s="58">
        <v>7307.76</v>
      </c>
      <c r="J28" s="57"/>
      <c r="K28" s="56">
        <v>7307.76</v>
      </c>
      <c r="L28" s="55"/>
      <c r="M28" s="55"/>
      <c r="N28" s="56">
        <v>-627.76</v>
      </c>
      <c r="O28" s="55"/>
      <c r="Q28" s="54">
        <f>(I28/H28)*100</f>
        <v>105.95868428015962</v>
      </c>
      <c r="R28" s="54">
        <f>(I28/G28)*100</f>
        <v>109.39760479041915</v>
      </c>
    </row>
    <row r="29" spans="2:18" x14ac:dyDescent="0.2">
      <c r="B29" s="60" t="s">
        <v>167</v>
      </c>
      <c r="C29" s="59" t="s">
        <v>166</v>
      </c>
      <c r="D29" s="19"/>
      <c r="E29" s="19"/>
      <c r="F29" s="19"/>
      <c r="G29" s="58">
        <v>0</v>
      </c>
      <c r="H29" s="57">
        <f>1181.02/(7.5345)</f>
        <v>156.74829119384165</v>
      </c>
      <c r="I29" s="58">
        <v>241.34</v>
      </c>
      <c r="J29" s="57"/>
      <c r="K29" s="56">
        <v>241.34</v>
      </c>
      <c r="L29" s="55"/>
      <c r="M29" s="55"/>
      <c r="N29" s="56">
        <v>-241.34</v>
      </c>
      <c r="O29" s="55"/>
      <c r="Q29" s="54">
        <f>(I29/H29)*100</f>
        <v>153.96659074359454</v>
      </c>
      <c r="R29" s="54"/>
    </row>
    <row r="30" spans="2:18" x14ac:dyDescent="0.2">
      <c r="B30" s="60" t="s">
        <v>165</v>
      </c>
      <c r="C30" s="59" t="s">
        <v>164</v>
      </c>
      <c r="D30" s="19"/>
      <c r="E30" s="19"/>
      <c r="F30" s="19"/>
      <c r="G30" s="58">
        <v>8760</v>
      </c>
      <c r="H30" s="57">
        <f>0/(7.5345)</f>
        <v>0</v>
      </c>
      <c r="I30" s="58">
        <v>0</v>
      </c>
      <c r="J30" s="57"/>
      <c r="K30" s="56">
        <v>0</v>
      </c>
      <c r="L30" s="55"/>
      <c r="M30" s="55"/>
      <c r="N30" s="56">
        <v>8760</v>
      </c>
      <c r="O30" s="55"/>
      <c r="Q30" s="54"/>
      <c r="R30" s="54">
        <f>(I30/G30)*100</f>
        <v>0</v>
      </c>
    </row>
    <row r="31" spans="2:18" x14ac:dyDescent="0.2">
      <c r="B31" s="60" t="s">
        <v>163</v>
      </c>
      <c r="C31" s="59" t="s">
        <v>162</v>
      </c>
      <c r="D31" s="19"/>
      <c r="E31" s="19"/>
      <c r="F31" s="19"/>
      <c r="G31" s="58">
        <v>2120</v>
      </c>
      <c r="H31" s="57">
        <f>774/(7.5345)</f>
        <v>102.72745371292056</v>
      </c>
      <c r="I31" s="58">
        <v>372.92</v>
      </c>
      <c r="J31" s="57"/>
      <c r="K31" s="56">
        <v>372.92</v>
      </c>
      <c r="L31" s="55"/>
      <c r="M31" s="55"/>
      <c r="N31" s="56">
        <v>1747.08</v>
      </c>
      <c r="O31" s="55"/>
      <c r="Q31" s="54">
        <f>(I31/H31)*100</f>
        <v>363.01882945736435</v>
      </c>
      <c r="R31" s="54">
        <f>(I31/G31)*100</f>
        <v>17.590566037735851</v>
      </c>
    </row>
    <row r="32" spans="2:18" x14ac:dyDescent="0.2">
      <c r="B32" s="60" t="s">
        <v>161</v>
      </c>
      <c r="C32" s="59" t="s">
        <v>160</v>
      </c>
      <c r="D32" s="19"/>
      <c r="E32" s="19"/>
      <c r="F32" s="19"/>
      <c r="G32" s="58">
        <v>660</v>
      </c>
      <c r="H32" s="57">
        <f>0/(7.5345)</f>
        <v>0</v>
      </c>
      <c r="I32" s="58">
        <v>0</v>
      </c>
      <c r="J32" s="57"/>
      <c r="K32" s="56">
        <v>0</v>
      </c>
      <c r="L32" s="55"/>
      <c r="M32" s="55"/>
      <c r="N32" s="56">
        <v>660</v>
      </c>
      <c r="O32" s="55"/>
      <c r="Q32" s="54"/>
      <c r="R32" s="54">
        <f>(I32/G32)*100</f>
        <v>0</v>
      </c>
    </row>
    <row r="33" spans="2:18" x14ac:dyDescent="0.2">
      <c r="B33" s="60" t="s">
        <v>159</v>
      </c>
      <c r="C33" s="59" t="s">
        <v>158</v>
      </c>
      <c r="D33" s="19"/>
      <c r="E33" s="19"/>
      <c r="F33" s="19"/>
      <c r="G33" s="58">
        <v>0</v>
      </c>
      <c r="H33" s="57">
        <f>1429.96/(7.5345)</f>
        <v>189.78830712057868</v>
      </c>
      <c r="I33" s="58">
        <v>368.09</v>
      </c>
      <c r="J33" s="57"/>
      <c r="K33" s="56">
        <v>368.09</v>
      </c>
      <c r="L33" s="55"/>
      <c r="M33" s="55"/>
      <c r="N33" s="56">
        <v>-368.09</v>
      </c>
      <c r="O33" s="55"/>
      <c r="Q33" s="54">
        <f>(I33/H33)*100</f>
        <v>193.94767021455144</v>
      </c>
      <c r="R33" s="54"/>
    </row>
    <row r="34" spans="2:18" x14ac:dyDescent="0.2">
      <c r="B34" s="60" t="s">
        <v>157</v>
      </c>
      <c r="C34" s="59" t="s">
        <v>156</v>
      </c>
      <c r="D34" s="19"/>
      <c r="E34" s="19"/>
      <c r="F34" s="19"/>
      <c r="G34" s="58">
        <v>42450</v>
      </c>
      <c r="H34" s="58">
        <f>H35+H36+H37+H38+H39+H40+H41+H42+H43</f>
        <v>13194.783993629306</v>
      </c>
      <c r="I34" s="58">
        <v>26111.5</v>
      </c>
      <c r="J34" s="57"/>
      <c r="K34" s="56">
        <v>26111.5</v>
      </c>
      <c r="L34" s="55"/>
      <c r="M34" s="55"/>
      <c r="N34" s="56">
        <v>16338.5</v>
      </c>
      <c r="O34" s="55"/>
      <c r="Q34" s="54">
        <f>(I34/H34)*100</f>
        <v>197.89259159230747</v>
      </c>
      <c r="R34" s="54">
        <f>(I34/G34)*100</f>
        <v>61.51118963486455</v>
      </c>
    </row>
    <row r="35" spans="2:18" x14ac:dyDescent="0.2">
      <c r="B35" s="60" t="s">
        <v>155</v>
      </c>
      <c r="C35" s="59" t="s">
        <v>154</v>
      </c>
      <c r="D35" s="19"/>
      <c r="E35" s="19"/>
      <c r="F35" s="19"/>
      <c r="G35" s="58">
        <v>1990</v>
      </c>
      <c r="H35" s="57">
        <f>5287.71/(7.5345)</f>
        <v>701.79972128210227</v>
      </c>
      <c r="I35" s="58">
        <v>810.1</v>
      </c>
      <c r="J35" s="57"/>
      <c r="K35" s="56">
        <v>810.1</v>
      </c>
      <c r="L35" s="55"/>
      <c r="M35" s="55"/>
      <c r="N35" s="56">
        <v>1179.9000000000001</v>
      </c>
      <c r="O35" s="55"/>
      <c r="Q35" s="54">
        <f>(I35/H35)*100</f>
        <v>115.43179277986124</v>
      </c>
      <c r="R35" s="54">
        <f>(I35/G35)*100</f>
        <v>40.708542713567844</v>
      </c>
    </row>
    <row r="36" spans="2:18" ht="20.25" customHeight="1" x14ac:dyDescent="0.2">
      <c r="B36" s="60" t="s">
        <v>153</v>
      </c>
      <c r="C36" s="59" t="s">
        <v>152</v>
      </c>
      <c r="D36" s="19"/>
      <c r="E36" s="19"/>
      <c r="F36" s="19"/>
      <c r="G36" s="58">
        <v>18320</v>
      </c>
      <c r="H36" s="57">
        <f>26510/(7.5345)</f>
        <v>3518.4816510717365</v>
      </c>
      <c r="I36" s="58">
        <v>3944.28</v>
      </c>
      <c r="J36" s="57"/>
      <c r="K36" s="56">
        <v>3944.28</v>
      </c>
      <c r="L36" s="55"/>
      <c r="M36" s="55"/>
      <c r="N36" s="56">
        <v>14375.72</v>
      </c>
      <c r="O36" s="55"/>
      <c r="Q36" s="54">
        <f>(I36/H36)*100</f>
        <v>112.10176408902302</v>
      </c>
      <c r="R36" s="54">
        <f>(I36/G36)*100</f>
        <v>21.529912663755461</v>
      </c>
    </row>
    <row r="37" spans="2:18" x14ac:dyDescent="0.2">
      <c r="B37" s="60" t="s">
        <v>151</v>
      </c>
      <c r="C37" s="59" t="s">
        <v>150</v>
      </c>
      <c r="D37" s="19"/>
      <c r="E37" s="19"/>
      <c r="F37" s="19"/>
      <c r="G37" s="58">
        <v>270</v>
      </c>
      <c r="H37" s="57">
        <f>4968/(7.5345)</f>
        <v>659.36691220386217</v>
      </c>
      <c r="I37" s="58">
        <v>0</v>
      </c>
      <c r="J37" s="57"/>
      <c r="K37" s="56">
        <v>0</v>
      </c>
      <c r="L37" s="55"/>
      <c r="M37" s="55"/>
      <c r="N37" s="56">
        <v>270</v>
      </c>
      <c r="O37" s="55"/>
      <c r="Q37" s="54">
        <f>(I37/H37)*100</f>
        <v>0</v>
      </c>
      <c r="R37" s="54">
        <f>(I37/G37)*100</f>
        <v>0</v>
      </c>
    </row>
    <row r="38" spans="2:18" x14ac:dyDescent="0.2">
      <c r="B38" s="60" t="s">
        <v>149</v>
      </c>
      <c r="C38" s="59" t="s">
        <v>148</v>
      </c>
      <c r="D38" s="19"/>
      <c r="E38" s="19"/>
      <c r="F38" s="19"/>
      <c r="G38" s="58">
        <v>6370</v>
      </c>
      <c r="H38" s="57">
        <f>20060.98/(7.5345)</f>
        <v>2662.5496051496448</v>
      </c>
      <c r="I38" s="58">
        <v>3136.52</v>
      </c>
      <c r="J38" s="57"/>
      <c r="K38" s="56">
        <v>3136.52</v>
      </c>
      <c r="L38" s="55"/>
      <c r="M38" s="55"/>
      <c r="N38" s="56">
        <v>3233.48</v>
      </c>
      <c r="O38" s="55"/>
      <c r="Q38" s="54">
        <f>(I38/H38)*100</f>
        <v>117.80137331276936</v>
      </c>
      <c r="R38" s="54">
        <f>(I38/G38)*100</f>
        <v>49.238932496075357</v>
      </c>
    </row>
    <row r="39" spans="2:18" x14ac:dyDescent="0.2">
      <c r="B39" s="60" t="s">
        <v>147</v>
      </c>
      <c r="C39" s="59" t="s">
        <v>146</v>
      </c>
      <c r="D39" s="19"/>
      <c r="E39" s="19"/>
      <c r="F39" s="19"/>
      <c r="G39" s="58">
        <v>0</v>
      </c>
      <c r="H39" s="57">
        <f>11694.72/(7.5345)</f>
        <v>1552.1560820226955</v>
      </c>
      <c r="I39" s="58">
        <v>1688.1</v>
      </c>
      <c r="J39" s="57"/>
      <c r="K39" s="56">
        <v>1688.1</v>
      </c>
      <c r="L39" s="55"/>
      <c r="M39" s="55"/>
      <c r="N39" s="56">
        <v>-1688.1</v>
      </c>
      <c r="O39" s="55"/>
      <c r="Q39" s="54">
        <f>(I39/H39)*100</f>
        <v>108.75839224880973</v>
      </c>
      <c r="R39" s="54"/>
    </row>
    <row r="40" spans="2:18" x14ac:dyDescent="0.2">
      <c r="B40" s="60" t="s">
        <v>145</v>
      </c>
      <c r="C40" s="59" t="s">
        <v>144</v>
      </c>
      <c r="D40" s="19"/>
      <c r="E40" s="19"/>
      <c r="F40" s="19"/>
      <c r="G40" s="58">
        <v>5180</v>
      </c>
      <c r="H40" s="57">
        <f>5160/(7.5345)</f>
        <v>684.84969141947045</v>
      </c>
      <c r="I40" s="58">
        <v>0</v>
      </c>
      <c r="J40" s="57"/>
      <c r="K40" s="56">
        <v>0</v>
      </c>
      <c r="L40" s="55"/>
      <c r="M40" s="55"/>
      <c r="N40" s="56">
        <v>5180</v>
      </c>
      <c r="O40" s="55"/>
      <c r="Q40" s="54">
        <f>(I40/H40)*100</f>
        <v>0</v>
      </c>
      <c r="R40" s="54">
        <f>(I40/G40)*100</f>
        <v>0</v>
      </c>
    </row>
    <row r="41" spans="2:18" x14ac:dyDescent="0.2">
      <c r="B41" s="60" t="s">
        <v>143</v>
      </c>
      <c r="C41" s="59" t="s">
        <v>142</v>
      </c>
      <c r="D41" s="19"/>
      <c r="E41" s="19"/>
      <c r="F41" s="19"/>
      <c r="G41" s="58">
        <v>8330</v>
      </c>
      <c r="H41" s="57">
        <f>15249.69/(7.5345)</f>
        <v>2023.9816842524388</v>
      </c>
      <c r="I41" s="58">
        <v>15833.89</v>
      </c>
      <c r="J41" s="57"/>
      <c r="K41" s="56">
        <v>15833.89</v>
      </c>
      <c r="L41" s="55"/>
      <c r="M41" s="55"/>
      <c r="N41" s="56">
        <v>-7503.89</v>
      </c>
      <c r="O41" s="55"/>
      <c r="Q41" s="54">
        <f>(I41/H41)*100</f>
        <v>782.31389756119631</v>
      </c>
      <c r="R41" s="54">
        <f>(I41/G41)*100</f>
        <v>190.08271308523408</v>
      </c>
    </row>
    <row r="42" spans="2:18" x14ac:dyDescent="0.2">
      <c r="B42" s="60" t="s">
        <v>141</v>
      </c>
      <c r="C42" s="59" t="s">
        <v>140</v>
      </c>
      <c r="D42" s="19"/>
      <c r="E42" s="19"/>
      <c r="F42" s="19"/>
      <c r="G42" s="58">
        <v>1060</v>
      </c>
      <c r="H42" s="57">
        <f>7075/(7.5345)</f>
        <v>939.01386953347924</v>
      </c>
      <c r="I42" s="58">
        <v>526.25</v>
      </c>
      <c r="J42" s="57"/>
      <c r="K42" s="56">
        <v>526.25</v>
      </c>
      <c r="L42" s="55"/>
      <c r="M42" s="55"/>
      <c r="N42" s="56">
        <v>533.75</v>
      </c>
      <c r="O42" s="55"/>
      <c r="Q42" s="54">
        <f>(I42/H42)*100</f>
        <v>56.042835689045944</v>
      </c>
      <c r="R42" s="54">
        <f>(I42/G42)*100</f>
        <v>49.64622641509434</v>
      </c>
    </row>
    <row r="43" spans="2:18" x14ac:dyDescent="0.2">
      <c r="B43" s="60" t="s">
        <v>139</v>
      </c>
      <c r="C43" s="59" t="s">
        <v>138</v>
      </c>
      <c r="D43" s="19"/>
      <c r="E43" s="19"/>
      <c r="F43" s="19"/>
      <c r="G43" s="58">
        <v>930</v>
      </c>
      <c r="H43" s="57">
        <f>3410/(7.5345)</f>
        <v>452.5847766938748</v>
      </c>
      <c r="I43" s="58">
        <v>172.36</v>
      </c>
      <c r="J43" s="57"/>
      <c r="K43" s="56">
        <v>172.36</v>
      </c>
      <c r="L43" s="55"/>
      <c r="M43" s="55"/>
      <c r="N43" s="56">
        <v>757.64</v>
      </c>
      <c r="O43" s="55"/>
      <c r="Q43" s="54">
        <f>(I43/H43)*100</f>
        <v>38.083472727272735</v>
      </c>
      <c r="R43" s="54">
        <f>(I43/G43)*100</f>
        <v>18.533333333333335</v>
      </c>
    </row>
    <row r="44" spans="2:18" x14ac:dyDescent="0.2">
      <c r="B44" s="60" t="s">
        <v>137</v>
      </c>
      <c r="C44" s="59" t="s">
        <v>123</v>
      </c>
      <c r="D44" s="19"/>
      <c r="E44" s="19"/>
      <c r="F44" s="19"/>
      <c r="G44" s="58">
        <v>31530</v>
      </c>
      <c r="H44" s="58">
        <f>H45+H46+H47+H48+H49+H50+H51</f>
        <v>8981.7851217731768</v>
      </c>
      <c r="I44" s="58">
        <v>9633.67</v>
      </c>
      <c r="J44" s="57"/>
      <c r="K44" s="56">
        <v>9633.67</v>
      </c>
      <c r="L44" s="55"/>
      <c r="M44" s="55"/>
      <c r="N44" s="56">
        <v>21896.33</v>
      </c>
      <c r="O44" s="55"/>
      <c r="Q44" s="54">
        <f>(I44/H44)*100</f>
        <v>107.25785430611737</v>
      </c>
      <c r="R44" s="54">
        <f>(I44/G44)*100</f>
        <v>30.55398033618776</v>
      </c>
    </row>
    <row r="45" spans="2:18" x14ac:dyDescent="0.2">
      <c r="B45" s="60" t="s">
        <v>136</v>
      </c>
      <c r="C45" s="59" t="s">
        <v>135</v>
      </c>
      <c r="D45" s="19"/>
      <c r="E45" s="19"/>
      <c r="F45" s="19"/>
      <c r="G45" s="58">
        <v>2260</v>
      </c>
      <c r="H45" s="57">
        <f>4962.42/(7.5345)</f>
        <v>658.62631893290859</v>
      </c>
      <c r="I45" s="58">
        <v>2278.79</v>
      </c>
      <c r="J45" s="57"/>
      <c r="K45" s="56">
        <v>2278.79</v>
      </c>
      <c r="L45" s="55"/>
      <c r="M45" s="55"/>
      <c r="N45" s="56">
        <v>-18.79</v>
      </c>
      <c r="O45" s="55"/>
      <c r="Q45" s="54">
        <f>(I45/H45)*100</f>
        <v>345.99133598123501</v>
      </c>
      <c r="R45" s="54">
        <f>(I45/G45)*100</f>
        <v>100.83141592920353</v>
      </c>
    </row>
    <row r="46" spans="2:18" x14ac:dyDescent="0.2">
      <c r="B46" s="60" t="s">
        <v>134</v>
      </c>
      <c r="C46" s="59" t="s">
        <v>133</v>
      </c>
      <c r="D46" s="19"/>
      <c r="E46" s="19"/>
      <c r="F46" s="19"/>
      <c r="G46" s="58">
        <v>930</v>
      </c>
      <c r="H46" s="57">
        <f>0/(7.5345)</f>
        <v>0</v>
      </c>
      <c r="I46" s="58">
        <v>71.2</v>
      </c>
      <c r="J46" s="57"/>
      <c r="K46" s="56">
        <v>71.2</v>
      </c>
      <c r="L46" s="55"/>
      <c r="M46" s="55"/>
      <c r="N46" s="56">
        <v>858.8</v>
      </c>
      <c r="O46" s="55"/>
      <c r="Q46" s="54"/>
      <c r="R46" s="54">
        <f>(I46/G46)*100</f>
        <v>7.6559139784946248</v>
      </c>
    </row>
    <row r="47" spans="2:18" x14ac:dyDescent="0.2">
      <c r="B47" s="60" t="s">
        <v>132</v>
      </c>
      <c r="C47" s="59" t="s">
        <v>131</v>
      </c>
      <c r="D47" s="19"/>
      <c r="E47" s="19"/>
      <c r="F47" s="19"/>
      <c r="G47" s="58">
        <v>270</v>
      </c>
      <c r="H47" s="57">
        <f>4144.72/(7.5345)</f>
        <v>550.09887849226891</v>
      </c>
      <c r="I47" s="58">
        <v>468.99</v>
      </c>
      <c r="J47" s="57"/>
      <c r="K47" s="56">
        <v>468.99</v>
      </c>
      <c r="L47" s="55"/>
      <c r="M47" s="55"/>
      <c r="N47" s="56">
        <v>-198.99</v>
      </c>
      <c r="O47" s="55"/>
      <c r="Q47" s="54">
        <f>(I47/H47)*100</f>
        <v>85.255581921094787</v>
      </c>
      <c r="R47" s="54">
        <f>(I47/G47)*100</f>
        <v>173.70000000000002</v>
      </c>
    </row>
    <row r="48" spans="2:18" x14ac:dyDescent="0.2">
      <c r="B48" s="60" t="s">
        <v>130</v>
      </c>
      <c r="C48" s="59" t="s">
        <v>129</v>
      </c>
      <c r="D48" s="19"/>
      <c r="E48" s="19"/>
      <c r="F48" s="19"/>
      <c r="G48" s="58">
        <v>130</v>
      </c>
      <c r="H48" s="57">
        <f>0/(7.5345)</f>
        <v>0</v>
      </c>
      <c r="I48" s="58">
        <v>35</v>
      </c>
      <c r="J48" s="57"/>
      <c r="K48" s="56">
        <v>35</v>
      </c>
      <c r="L48" s="55"/>
      <c r="M48" s="55"/>
      <c r="N48" s="56">
        <v>95</v>
      </c>
      <c r="O48" s="55"/>
      <c r="Q48" s="54"/>
      <c r="R48" s="54">
        <f>(I48/G48)*100</f>
        <v>26.923076923076923</v>
      </c>
    </row>
    <row r="49" spans="2:18" x14ac:dyDescent="0.2">
      <c r="B49" s="60" t="s">
        <v>128</v>
      </c>
      <c r="C49" s="59" t="s">
        <v>127</v>
      </c>
      <c r="D49" s="19"/>
      <c r="E49" s="19"/>
      <c r="F49" s="19"/>
      <c r="G49" s="58">
        <v>900</v>
      </c>
      <c r="H49" s="57">
        <f>5400/(7.5345)</f>
        <v>716.7031654389807</v>
      </c>
      <c r="I49" s="58">
        <v>0</v>
      </c>
      <c r="J49" s="57"/>
      <c r="K49" s="56">
        <v>0</v>
      </c>
      <c r="L49" s="55"/>
      <c r="M49" s="55"/>
      <c r="N49" s="56">
        <v>900</v>
      </c>
      <c r="O49" s="55"/>
      <c r="Q49" s="54">
        <f>(I49/H49)*100</f>
        <v>0</v>
      </c>
      <c r="R49" s="54">
        <f>(I49/G49)*100</f>
        <v>0</v>
      </c>
    </row>
    <row r="50" spans="2:18" x14ac:dyDescent="0.2">
      <c r="B50" s="60" t="s">
        <v>126</v>
      </c>
      <c r="C50" s="59" t="s">
        <v>125</v>
      </c>
      <c r="D50" s="19"/>
      <c r="E50" s="19"/>
      <c r="F50" s="19"/>
      <c r="G50" s="58">
        <v>20000</v>
      </c>
      <c r="H50" s="57">
        <f>0/(7.5345)</f>
        <v>0</v>
      </c>
      <c r="I50" s="58">
        <v>0</v>
      </c>
      <c r="J50" s="57"/>
      <c r="K50" s="56">
        <v>0</v>
      </c>
      <c r="L50" s="55"/>
      <c r="M50" s="55"/>
      <c r="N50" s="56">
        <v>20000</v>
      </c>
      <c r="O50" s="55"/>
      <c r="Q50" s="54"/>
      <c r="R50" s="54">
        <f>(I50/G50)*100</f>
        <v>0</v>
      </c>
    </row>
    <row r="51" spans="2:18" x14ac:dyDescent="0.2">
      <c r="B51" s="60" t="s">
        <v>124</v>
      </c>
      <c r="C51" s="59" t="s">
        <v>123</v>
      </c>
      <c r="D51" s="19"/>
      <c r="E51" s="19"/>
      <c r="F51" s="19"/>
      <c r="G51" s="58">
        <v>7040</v>
      </c>
      <c r="H51" s="57">
        <f>53166.12/(7.5345)</f>
        <v>7056.356758909018</v>
      </c>
      <c r="I51" s="58">
        <v>6779.69</v>
      </c>
      <c r="J51" s="57"/>
      <c r="K51" s="56">
        <v>6779.69</v>
      </c>
      <c r="L51" s="55"/>
      <c r="M51" s="55"/>
      <c r="N51" s="56">
        <v>260.31</v>
      </c>
      <c r="O51" s="55"/>
      <c r="Q51" s="54">
        <f>(I51/H51)*100</f>
        <v>96.079184083773654</v>
      </c>
      <c r="R51" s="54">
        <f>(I51/G51)*100</f>
        <v>96.302414772727261</v>
      </c>
    </row>
    <row r="52" spans="2:18" x14ac:dyDescent="0.2">
      <c r="B52" s="60" t="s">
        <v>122</v>
      </c>
      <c r="C52" s="59" t="s">
        <v>121</v>
      </c>
      <c r="D52" s="19"/>
      <c r="E52" s="19"/>
      <c r="F52" s="19"/>
      <c r="G52" s="58">
        <v>660</v>
      </c>
      <c r="H52" s="58">
        <f>H53</f>
        <v>238.04366580396839</v>
      </c>
      <c r="I52" s="58">
        <v>275.56</v>
      </c>
      <c r="J52" s="57"/>
      <c r="K52" s="56">
        <v>275.56</v>
      </c>
      <c r="L52" s="55"/>
      <c r="M52" s="55"/>
      <c r="N52" s="56">
        <v>384.44</v>
      </c>
      <c r="O52" s="55"/>
      <c r="Q52" s="54">
        <f>(I52/H52)*100</f>
        <v>115.76027409480693</v>
      </c>
      <c r="R52" s="54">
        <f>(I52/G52)*100</f>
        <v>41.75151515151515</v>
      </c>
    </row>
    <row r="53" spans="2:18" x14ac:dyDescent="0.2">
      <c r="B53" s="60" t="s">
        <v>120</v>
      </c>
      <c r="C53" s="59" t="s">
        <v>119</v>
      </c>
      <c r="D53" s="19"/>
      <c r="E53" s="19"/>
      <c r="F53" s="19"/>
      <c r="G53" s="58">
        <v>660</v>
      </c>
      <c r="H53" s="58">
        <f>H54+H55+H56</f>
        <v>238.04366580396839</v>
      </c>
      <c r="I53" s="58">
        <v>275.56</v>
      </c>
      <c r="J53" s="57"/>
      <c r="K53" s="56">
        <v>275.56</v>
      </c>
      <c r="L53" s="55"/>
      <c r="M53" s="55"/>
      <c r="N53" s="56">
        <v>384.44</v>
      </c>
      <c r="O53" s="55"/>
      <c r="Q53" s="54">
        <f>(I53/H53)*100</f>
        <v>115.76027409480693</v>
      </c>
      <c r="R53" s="54">
        <f>(I53/G53)*100</f>
        <v>41.75151515151515</v>
      </c>
    </row>
    <row r="54" spans="2:18" x14ac:dyDescent="0.2">
      <c r="B54" s="60" t="s">
        <v>118</v>
      </c>
      <c r="C54" s="59" t="s">
        <v>117</v>
      </c>
      <c r="D54" s="19"/>
      <c r="E54" s="19"/>
      <c r="F54" s="19"/>
      <c r="G54" s="58">
        <v>400</v>
      </c>
      <c r="H54" s="57">
        <f>1788.74/(7.5345)</f>
        <v>237.40659632357819</v>
      </c>
      <c r="I54" s="58">
        <v>275.56</v>
      </c>
      <c r="J54" s="57"/>
      <c r="K54" s="56">
        <v>275.56</v>
      </c>
      <c r="L54" s="55"/>
      <c r="M54" s="55"/>
      <c r="N54" s="56">
        <v>124.44</v>
      </c>
      <c r="O54" s="55"/>
      <c r="Q54" s="54">
        <f>(I54/H54)*100</f>
        <v>116.07091136777845</v>
      </c>
      <c r="R54" s="54">
        <f>(I54/G54)*100</f>
        <v>68.89</v>
      </c>
    </row>
    <row r="55" spans="2:18" x14ac:dyDescent="0.2">
      <c r="B55" s="60" t="s">
        <v>116</v>
      </c>
      <c r="C55" s="59" t="s">
        <v>115</v>
      </c>
      <c r="D55" s="19"/>
      <c r="E55" s="19"/>
      <c r="F55" s="19"/>
      <c r="G55" s="58">
        <v>130</v>
      </c>
      <c r="H55" s="57">
        <f>4.74/(7.5345)</f>
        <v>0.6291061118853275</v>
      </c>
      <c r="I55" s="58">
        <v>0</v>
      </c>
      <c r="J55" s="57"/>
      <c r="K55" s="56">
        <v>0</v>
      </c>
      <c r="L55" s="55"/>
      <c r="M55" s="55"/>
      <c r="N55" s="56">
        <v>130</v>
      </c>
      <c r="O55" s="55"/>
      <c r="Q55" s="54">
        <f>(I55/H55)*100</f>
        <v>0</v>
      </c>
      <c r="R55" s="54">
        <f>(I55/G55)*100</f>
        <v>0</v>
      </c>
    </row>
    <row r="56" spans="2:18" x14ac:dyDescent="0.2">
      <c r="B56" s="60" t="s">
        <v>114</v>
      </c>
      <c r="C56" s="59" t="s">
        <v>113</v>
      </c>
      <c r="D56" s="19"/>
      <c r="E56" s="19"/>
      <c r="F56" s="19"/>
      <c r="G56" s="58">
        <v>130</v>
      </c>
      <c r="H56" s="57">
        <f>0.06/(7.5345)</f>
        <v>7.9633685048775618E-3</v>
      </c>
      <c r="I56" s="58">
        <v>0</v>
      </c>
      <c r="J56" s="57"/>
      <c r="K56" s="56">
        <v>0</v>
      </c>
      <c r="L56" s="55"/>
      <c r="M56" s="55"/>
      <c r="N56" s="56">
        <v>130</v>
      </c>
      <c r="O56" s="55"/>
      <c r="Q56" s="54">
        <f>(I56/H56)*100</f>
        <v>0</v>
      </c>
      <c r="R56" s="54">
        <f>(I56/G56)*100</f>
        <v>0</v>
      </c>
    </row>
    <row r="57" spans="2:18" x14ac:dyDescent="0.2">
      <c r="B57" s="60" t="s">
        <v>112</v>
      </c>
      <c r="C57" s="59" t="s">
        <v>111</v>
      </c>
      <c r="D57" s="19"/>
      <c r="E57" s="19"/>
      <c r="F57" s="19"/>
      <c r="G57" s="58">
        <v>1790</v>
      </c>
      <c r="H57" s="58">
        <f>H58</f>
        <v>1194.5052757316344</v>
      </c>
      <c r="I57" s="58">
        <v>460</v>
      </c>
      <c r="J57" s="57"/>
      <c r="K57" s="56">
        <v>460</v>
      </c>
      <c r="L57" s="55"/>
      <c r="M57" s="55"/>
      <c r="N57" s="56">
        <v>1330</v>
      </c>
      <c r="O57" s="55"/>
      <c r="Q57" s="54">
        <f>(I57/H57)*100</f>
        <v>38.509666666666668</v>
      </c>
      <c r="R57" s="54">
        <f>(I57/G57)*100</f>
        <v>25.69832402234637</v>
      </c>
    </row>
    <row r="58" spans="2:18" x14ac:dyDescent="0.2">
      <c r="B58" s="60" t="s">
        <v>110</v>
      </c>
      <c r="C58" s="59" t="s">
        <v>109</v>
      </c>
      <c r="D58" s="19"/>
      <c r="E58" s="19"/>
      <c r="F58" s="19"/>
      <c r="G58" s="58">
        <v>1790</v>
      </c>
      <c r="H58" s="58">
        <f>H59+H60</f>
        <v>1194.5052757316344</v>
      </c>
      <c r="I58" s="58">
        <v>460</v>
      </c>
      <c r="J58" s="57"/>
      <c r="K58" s="56">
        <v>460</v>
      </c>
      <c r="L58" s="55"/>
      <c r="M58" s="55"/>
      <c r="N58" s="56">
        <v>1330</v>
      </c>
      <c r="O58" s="55"/>
      <c r="Q58" s="54">
        <f>(I58/H58)*100</f>
        <v>38.509666666666668</v>
      </c>
      <c r="R58" s="54">
        <f>(I58/G58)*100</f>
        <v>25.69832402234637</v>
      </c>
    </row>
    <row r="59" spans="2:18" x14ac:dyDescent="0.2">
      <c r="B59" s="60" t="s">
        <v>108</v>
      </c>
      <c r="C59" s="59" t="s">
        <v>107</v>
      </c>
      <c r="D59" s="19"/>
      <c r="E59" s="19"/>
      <c r="F59" s="19"/>
      <c r="G59" s="58">
        <v>1790</v>
      </c>
      <c r="H59" s="57">
        <f>9000/(7.5345)</f>
        <v>1194.5052757316344</v>
      </c>
      <c r="I59" s="58">
        <v>460</v>
      </c>
      <c r="J59" s="57"/>
      <c r="K59" s="56">
        <v>460</v>
      </c>
      <c r="L59" s="55"/>
      <c r="M59" s="55"/>
      <c r="N59" s="56">
        <v>1330</v>
      </c>
      <c r="O59" s="55"/>
      <c r="Q59" s="54">
        <f>(I59/H59)*100</f>
        <v>38.509666666666668</v>
      </c>
      <c r="R59" s="54">
        <f>(I59/G59)*100</f>
        <v>25.69832402234637</v>
      </c>
    </row>
    <row r="60" spans="2:18" x14ac:dyDescent="0.2">
      <c r="B60" s="60" t="s">
        <v>106</v>
      </c>
      <c r="C60" s="59" t="s">
        <v>105</v>
      </c>
      <c r="D60" s="19"/>
      <c r="E60" s="19"/>
      <c r="F60" s="19"/>
      <c r="G60" s="58">
        <v>0</v>
      </c>
      <c r="H60" s="57">
        <f>0/(7.5345)</f>
        <v>0</v>
      </c>
      <c r="I60" s="58">
        <v>0</v>
      </c>
      <c r="J60" s="57"/>
      <c r="K60" s="56">
        <v>0</v>
      </c>
      <c r="L60" s="55"/>
      <c r="M60" s="55"/>
      <c r="N60" s="56">
        <v>0</v>
      </c>
      <c r="O60" s="55"/>
      <c r="Q60" s="54"/>
      <c r="R60" s="54"/>
    </row>
    <row r="61" spans="2:18" x14ac:dyDescent="0.2">
      <c r="B61" s="60" t="s">
        <v>104</v>
      </c>
      <c r="C61" s="59" t="s">
        <v>103</v>
      </c>
      <c r="D61" s="19"/>
      <c r="E61" s="19"/>
      <c r="F61" s="19"/>
      <c r="G61" s="58">
        <v>0</v>
      </c>
      <c r="H61" s="58">
        <f>H62</f>
        <v>0</v>
      </c>
      <c r="I61" s="58">
        <v>1624.7</v>
      </c>
      <c r="J61" s="57"/>
      <c r="K61" s="56">
        <v>1624.7</v>
      </c>
      <c r="L61" s="55"/>
      <c r="M61" s="55"/>
      <c r="N61" s="56">
        <v>-1624.7</v>
      </c>
      <c r="O61" s="55"/>
      <c r="Q61" s="54"/>
      <c r="R61" s="54"/>
    </row>
    <row r="62" spans="2:18" x14ac:dyDescent="0.2">
      <c r="B62" s="60" t="s">
        <v>102</v>
      </c>
      <c r="C62" s="59" t="s">
        <v>35</v>
      </c>
      <c r="D62" s="19"/>
      <c r="E62" s="19"/>
      <c r="F62" s="19"/>
      <c r="G62" s="58">
        <v>0</v>
      </c>
      <c r="H62" s="58">
        <f>H63</f>
        <v>0</v>
      </c>
      <c r="I62" s="58">
        <v>1624.7</v>
      </c>
      <c r="J62" s="57"/>
      <c r="K62" s="56">
        <v>1624.7</v>
      </c>
      <c r="L62" s="55"/>
      <c r="M62" s="55"/>
      <c r="N62" s="56">
        <v>-1624.7</v>
      </c>
      <c r="O62" s="55"/>
      <c r="Q62" s="54"/>
      <c r="R62" s="54"/>
    </row>
    <row r="63" spans="2:18" x14ac:dyDescent="0.2">
      <c r="B63" s="60" t="s">
        <v>101</v>
      </c>
      <c r="C63" s="59" t="s">
        <v>100</v>
      </c>
      <c r="D63" s="19"/>
      <c r="E63" s="19"/>
      <c r="F63" s="19"/>
      <c r="G63" s="58">
        <v>0</v>
      </c>
      <c r="H63" s="57">
        <v>0</v>
      </c>
      <c r="I63" s="58">
        <v>1624.7</v>
      </c>
      <c r="J63" s="57"/>
      <c r="K63" s="56">
        <v>1624.7</v>
      </c>
      <c r="L63" s="55"/>
      <c r="M63" s="55"/>
      <c r="N63" s="56">
        <v>-1624.7</v>
      </c>
      <c r="O63" s="55"/>
      <c r="Q63" s="54"/>
      <c r="R63" s="54"/>
    </row>
    <row r="64" spans="2:18" x14ac:dyDescent="0.2">
      <c r="B64" s="60" t="s">
        <v>22</v>
      </c>
      <c r="C64" s="59" t="s">
        <v>23</v>
      </c>
      <c r="D64" s="19"/>
      <c r="E64" s="19"/>
      <c r="F64" s="19"/>
      <c r="G64" s="58">
        <v>324270</v>
      </c>
      <c r="H64" s="58">
        <f>H65+H68</f>
        <v>1427.4537129205653</v>
      </c>
      <c r="I64" s="58">
        <v>6792.92</v>
      </c>
      <c r="J64" s="57"/>
      <c r="K64" s="56">
        <v>6792.92</v>
      </c>
      <c r="L64" s="55"/>
      <c r="M64" s="55"/>
      <c r="N64" s="56">
        <v>317477.08</v>
      </c>
      <c r="O64" s="55"/>
      <c r="Q64" s="54">
        <f>(I64/H64)*100</f>
        <v>475.87672640548948</v>
      </c>
      <c r="R64" s="54">
        <f>(I64/G64)*100</f>
        <v>2.094834551454035</v>
      </c>
    </row>
    <row r="65" spans="2:18" x14ac:dyDescent="0.2">
      <c r="B65" s="60" t="s">
        <v>99</v>
      </c>
      <c r="C65" s="59" t="s">
        <v>98</v>
      </c>
      <c r="D65" s="19"/>
      <c r="E65" s="19"/>
      <c r="F65" s="19"/>
      <c r="G65" s="58">
        <v>0</v>
      </c>
      <c r="H65" s="58">
        <f>H66</f>
        <v>0</v>
      </c>
      <c r="I65" s="58">
        <v>0</v>
      </c>
      <c r="J65" s="57"/>
      <c r="K65" s="56">
        <v>0</v>
      </c>
      <c r="L65" s="55"/>
      <c r="M65" s="55"/>
      <c r="N65" s="56">
        <v>0</v>
      </c>
      <c r="O65" s="55"/>
      <c r="Q65" s="54"/>
      <c r="R65" s="54"/>
    </row>
    <row r="66" spans="2:18" x14ac:dyDescent="0.2">
      <c r="B66" s="60" t="s">
        <v>97</v>
      </c>
      <c r="C66" s="59" t="s">
        <v>96</v>
      </c>
      <c r="D66" s="19"/>
      <c r="E66" s="19"/>
      <c r="F66" s="19"/>
      <c r="G66" s="58">
        <v>0</v>
      </c>
      <c r="H66" s="58">
        <f>H67</f>
        <v>0</v>
      </c>
      <c r="I66" s="58">
        <v>0</v>
      </c>
      <c r="J66" s="57"/>
      <c r="K66" s="56">
        <v>0</v>
      </c>
      <c r="L66" s="55"/>
      <c r="M66" s="55"/>
      <c r="N66" s="56">
        <v>0</v>
      </c>
      <c r="O66" s="55"/>
      <c r="Q66" s="54"/>
      <c r="R66" s="54"/>
    </row>
    <row r="67" spans="2:18" x14ac:dyDescent="0.2">
      <c r="B67" s="60" t="s">
        <v>95</v>
      </c>
      <c r="C67" s="59" t="s">
        <v>94</v>
      </c>
      <c r="D67" s="19"/>
      <c r="E67" s="19"/>
      <c r="F67" s="19"/>
      <c r="G67" s="58">
        <v>0</v>
      </c>
      <c r="H67" s="58">
        <v>0</v>
      </c>
      <c r="I67" s="58">
        <v>0</v>
      </c>
      <c r="J67" s="57"/>
      <c r="K67" s="56">
        <v>0</v>
      </c>
      <c r="L67" s="55"/>
      <c r="M67" s="55"/>
      <c r="N67" s="56">
        <v>0</v>
      </c>
      <c r="O67" s="55"/>
      <c r="Q67" s="54"/>
      <c r="R67" s="54"/>
    </row>
    <row r="68" spans="2:18" x14ac:dyDescent="0.2">
      <c r="B68" s="60" t="s">
        <v>93</v>
      </c>
      <c r="C68" s="59" t="s">
        <v>92</v>
      </c>
      <c r="D68" s="19"/>
      <c r="E68" s="19"/>
      <c r="F68" s="19"/>
      <c r="G68" s="58">
        <v>324270</v>
      </c>
      <c r="H68" s="58">
        <f>H69+H71+H76</f>
        <v>1427.4537129205653</v>
      </c>
      <c r="I68" s="58">
        <v>6792.92</v>
      </c>
      <c r="J68" s="57"/>
      <c r="K68" s="56">
        <v>6792.92</v>
      </c>
      <c r="L68" s="55"/>
      <c r="M68" s="55"/>
      <c r="N68" s="56">
        <v>317477.08</v>
      </c>
      <c r="O68" s="55"/>
      <c r="Q68" s="54">
        <f>(I68/H68)*100</f>
        <v>475.87672640548948</v>
      </c>
      <c r="R68" s="54">
        <f>(I68/G68)*100</f>
        <v>2.094834551454035</v>
      </c>
    </row>
    <row r="69" spans="2:18" x14ac:dyDescent="0.2">
      <c r="B69" s="60" t="s">
        <v>91</v>
      </c>
      <c r="C69" s="59" t="s">
        <v>90</v>
      </c>
      <c r="D69" s="19"/>
      <c r="E69" s="19"/>
      <c r="F69" s="19"/>
      <c r="G69" s="58">
        <v>0</v>
      </c>
      <c r="H69" s="58">
        <f>H70</f>
        <v>0</v>
      </c>
      <c r="I69" s="58">
        <v>0</v>
      </c>
      <c r="J69" s="57"/>
      <c r="K69" s="56">
        <v>0</v>
      </c>
      <c r="L69" s="55"/>
      <c r="M69" s="55"/>
      <c r="N69" s="56">
        <v>0</v>
      </c>
      <c r="O69" s="55"/>
      <c r="Q69" s="54"/>
      <c r="R69" s="54"/>
    </row>
    <row r="70" spans="2:18" x14ac:dyDescent="0.2">
      <c r="B70" s="60" t="s">
        <v>89</v>
      </c>
      <c r="C70" s="59" t="s">
        <v>88</v>
      </c>
      <c r="D70" s="19"/>
      <c r="E70" s="19"/>
      <c r="F70" s="19"/>
      <c r="G70" s="58">
        <v>0</v>
      </c>
      <c r="H70" s="58">
        <v>0</v>
      </c>
      <c r="I70" s="58">
        <v>0</v>
      </c>
      <c r="J70" s="57"/>
      <c r="K70" s="56">
        <v>0</v>
      </c>
      <c r="L70" s="55"/>
      <c r="M70" s="55"/>
      <c r="N70" s="56">
        <v>0</v>
      </c>
      <c r="O70" s="55"/>
      <c r="Q70" s="54"/>
      <c r="R70" s="54"/>
    </row>
    <row r="71" spans="2:18" x14ac:dyDescent="0.2">
      <c r="B71" s="60" t="s">
        <v>87</v>
      </c>
      <c r="C71" s="59" t="s">
        <v>86</v>
      </c>
      <c r="D71" s="19"/>
      <c r="E71" s="19"/>
      <c r="F71" s="19"/>
      <c r="G71" s="58">
        <v>273020</v>
      </c>
      <c r="H71" s="58">
        <f>H72+H73+H74+H75</f>
        <v>750.94565000995419</v>
      </c>
      <c r="I71" s="58">
        <v>6607.8</v>
      </c>
      <c r="J71" s="57"/>
      <c r="K71" s="56">
        <v>6607.8</v>
      </c>
      <c r="L71" s="55"/>
      <c r="M71" s="55"/>
      <c r="N71" s="56">
        <v>266412.2</v>
      </c>
      <c r="O71" s="55"/>
      <c r="Q71" s="54">
        <f>(I71/H71)*100</f>
        <v>879.93052492046661</v>
      </c>
      <c r="R71" s="54">
        <f>(I71/G71)*100</f>
        <v>2.4202622518496817</v>
      </c>
    </row>
    <row r="72" spans="2:18" x14ac:dyDescent="0.2">
      <c r="B72" s="60" t="s">
        <v>85</v>
      </c>
      <c r="C72" s="59" t="s">
        <v>84</v>
      </c>
      <c r="D72" s="19"/>
      <c r="E72" s="19"/>
      <c r="F72" s="19"/>
      <c r="G72" s="58">
        <v>257020</v>
      </c>
      <c r="H72" s="57">
        <f>5658/(7.5345)</f>
        <v>750.94565000995419</v>
      </c>
      <c r="I72" s="58">
        <v>6607.8</v>
      </c>
      <c r="J72" s="57"/>
      <c r="K72" s="56">
        <v>6607.8</v>
      </c>
      <c r="L72" s="55"/>
      <c r="M72" s="55"/>
      <c r="N72" s="56">
        <v>250412.2</v>
      </c>
      <c r="O72" s="55"/>
      <c r="Q72" s="54">
        <f>(I72/H72)*100</f>
        <v>879.93052492046661</v>
      </c>
      <c r="R72" s="54">
        <f>(I72/G72)*100</f>
        <v>2.5709283324254919</v>
      </c>
    </row>
    <row r="73" spans="2:18" x14ac:dyDescent="0.2">
      <c r="B73" s="60" t="s">
        <v>83</v>
      </c>
      <c r="C73" s="59" t="s">
        <v>82</v>
      </c>
      <c r="D73" s="19"/>
      <c r="E73" s="19"/>
      <c r="F73" s="19"/>
      <c r="G73" s="58">
        <v>15000</v>
      </c>
      <c r="H73" s="58">
        <v>0</v>
      </c>
      <c r="I73" s="58">
        <v>0</v>
      </c>
      <c r="J73" s="57"/>
      <c r="K73" s="56">
        <v>0</v>
      </c>
      <c r="L73" s="55"/>
      <c r="M73" s="55"/>
      <c r="N73" s="56">
        <v>15000</v>
      </c>
      <c r="O73" s="55"/>
      <c r="Q73" s="54"/>
      <c r="R73" s="54">
        <f>(I73/G73)*100</f>
        <v>0</v>
      </c>
    </row>
    <row r="74" spans="2:18" x14ac:dyDescent="0.2">
      <c r="B74" s="60" t="s">
        <v>81</v>
      </c>
      <c r="C74" s="59" t="s">
        <v>80</v>
      </c>
      <c r="D74" s="19"/>
      <c r="E74" s="19"/>
      <c r="F74" s="19"/>
      <c r="G74" s="58">
        <v>1000</v>
      </c>
      <c r="H74" s="58">
        <v>0</v>
      </c>
      <c r="I74" s="58">
        <v>0</v>
      </c>
      <c r="J74" s="57"/>
      <c r="K74" s="56">
        <v>0</v>
      </c>
      <c r="L74" s="55"/>
      <c r="M74" s="55"/>
      <c r="N74" s="56">
        <v>1000</v>
      </c>
      <c r="O74" s="55"/>
      <c r="Q74" s="54"/>
      <c r="R74" s="54">
        <f>(I74/G74)*100</f>
        <v>0</v>
      </c>
    </row>
    <row r="75" spans="2:18" x14ac:dyDescent="0.2">
      <c r="B75" s="60" t="s">
        <v>79</v>
      </c>
      <c r="C75" s="59" t="s">
        <v>78</v>
      </c>
      <c r="D75" s="19"/>
      <c r="E75" s="19"/>
      <c r="F75" s="19"/>
      <c r="G75" s="58">
        <v>0</v>
      </c>
      <c r="H75" s="58">
        <v>0</v>
      </c>
      <c r="I75" s="58">
        <v>0</v>
      </c>
      <c r="J75" s="57"/>
      <c r="K75" s="56">
        <v>0</v>
      </c>
      <c r="L75" s="55"/>
      <c r="M75" s="55"/>
      <c r="N75" s="56">
        <v>0</v>
      </c>
      <c r="O75" s="55"/>
      <c r="Q75" s="54"/>
      <c r="R75" s="54"/>
    </row>
    <row r="76" spans="2:18" x14ac:dyDescent="0.2">
      <c r="B76" s="60" t="s">
        <v>77</v>
      </c>
      <c r="C76" s="59" t="s">
        <v>76</v>
      </c>
      <c r="D76" s="19"/>
      <c r="E76" s="19"/>
      <c r="F76" s="19"/>
      <c r="G76" s="58">
        <v>51250</v>
      </c>
      <c r="H76" s="58">
        <f>H77</f>
        <v>676.5080629106111</v>
      </c>
      <c r="I76" s="58">
        <v>185.12</v>
      </c>
      <c r="J76" s="57"/>
      <c r="K76" s="56">
        <v>185.12</v>
      </c>
      <c r="L76" s="55"/>
      <c r="M76" s="55"/>
      <c r="N76" s="56">
        <v>51064.88</v>
      </c>
      <c r="O76" s="55"/>
      <c r="Q76" s="54">
        <f>(I76/H76)*100</f>
        <v>27.364049321679769</v>
      </c>
      <c r="R76" s="54">
        <f>(I76/G76)*100</f>
        <v>0.36120975609756101</v>
      </c>
    </row>
    <row r="77" spans="2:18" x14ac:dyDescent="0.2">
      <c r="B77" s="60" t="s">
        <v>75</v>
      </c>
      <c r="C77" s="59" t="s">
        <v>74</v>
      </c>
      <c r="D77" s="19"/>
      <c r="E77" s="19"/>
      <c r="F77" s="19"/>
      <c r="G77" s="58">
        <v>51250</v>
      </c>
      <c r="H77" s="57">
        <f>5097.15/(7.5345)</f>
        <v>676.5080629106111</v>
      </c>
      <c r="I77" s="58">
        <v>185.12</v>
      </c>
      <c r="J77" s="57"/>
      <c r="K77" s="56">
        <v>185.12</v>
      </c>
      <c r="L77" s="55"/>
      <c r="M77" s="55"/>
      <c r="N77" s="56">
        <v>51064.88</v>
      </c>
      <c r="O77" s="55"/>
      <c r="Q77" s="54">
        <f>(I77/H77)*100</f>
        <v>27.364049321679769</v>
      </c>
      <c r="R77" s="54">
        <f>(I77/G77)*100</f>
        <v>0.36120975609756101</v>
      </c>
    </row>
    <row r="78" spans="2:18" ht="409.6" hidden="1" customHeight="1" x14ac:dyDescent="0.2"/>
  </sheetData>
  <mergeCells count="218">
    <mergeCell ref="C76:F76"/>
    <mergeCell ref="K76:M76"/>
    <mergeCell ref="N76:O76"/>
    <mergeCell ref="C77:F77"/>
    <mergeCell ref="K77:M77"/>
    <mergeCell ref="N77:O77"/>
    <mergeCell ref="C74:F74"/>
    <mergeCell ref="K74:M74"/>
    <mergeCell ref="N74:O74"/>
    <mergeCell ref="C75:F75"/>
    <mergeCell ref="K75:M75"/>
    <mergeCell ref="N75:O75"/>
    <mergeCell ref="C72:F72"/>
    <mergeCell ref="K72:M72"/>
    <mergeCell ref="N72:O72"/>
    <mergeCell ref="C73:F73"/>
    <mergeCell ref="K73:M73"/>
    <mergeCell ref="N73:O73"/>
    <mergeCell ref="C70:F70"/>
    <mergeCell ref="K70:M70"/>
    <mergeCell ref="N70:O70"/>
    <mergeCell ref="C71:F71"/>
    <mergeCell ref="K71:M71"/>
    <mergeCell ref="N71:O71"/>
    <mergeCell ref="C68:F68"/>
    <mergeCell ref="K68:M68"/>
    <mergeCell ref="N68:O68"/>
    <mergeCell ref="C69:F69"/>
    <mergeCell ref="K69:M69"/>
    <mergeCell ref="N69:O69"/>
    <mergeCell ref="C66:F66"/>
    <mergeCell ref="K66:M66"/>
    <mergeCell ref="N66:O66"/>
    <mergeCell ref="C67:F67"/>
    <mergeCell ref="K67:M67"/>
    <mergeCell ref="N67:O67"/>
    <mergeCell ref="C64:F64"/>
    <mergeCell ref="K64:M64"/>
    <mergeCell ref="N64:O64"/>
    <mergeCell ref="C65:F65"/>
    <mergeCell ref="K65:M65"/>
    <mergeCell ref="N65:O65"/>
    <mergeCell ref="C62:F62"/>
    <mergeCell ref="K62:M62"/>
    <mergeCell ref="N62:O62"/>
    <mergeCell ref="C63:F63"/>
    <mergeCell ref="K63:M63"/>
    <mergeCell ref="N63:O63"/>
    <mergeCell ref="C60:F60"/>
    <mergeCell ref="K60:M60"/>
    <mergeCell ref="N60:O60"/>
    <mergeCell ref="C61:F61"/>
    <mergeCell ref="K61:M61"/>
    <mergeCell ref="N61:O61"/>
    <mergeCell ref="C58:F58"/>
    <mergeCell ref="K58:M58"/>
    <mergeCell ref="N58:O58"/>
    <mergeCell ref="C59:F59"/>
    <mergeCell ref="K59:M59"/>
    <mergeCell ref="N59:O59"/>
    <mergeCell ref="C56:F56"/>
    <mergeCell ref="K56:M56"/>
    <mergeCell ref="N56:O56"/>
    <mergeCell ref="C57:F57"/>
    <mergeCell ref="K57:M57"/>
    <mergeCell ref="N57:O57"/>
    <mergeCell ref="C54:F54"/>
    <mergeCell ref="K54:M54"/>
    <mergeCell ref="N54:O54"/>
    <mergeCell ref="C55:F55"/>
    <mergeCell ref="K55:M55"/>
    <mergeCell ref="N55:O55"/>
    <mergeCell ref="C52:F52"/>
    <mergeCell ref="K52:M52"/>
    <mergeCell ref="N52:O52"/>
    <mergeCell ref="C53:F53"/>
    <mergeCell ref="K53:M53"/>
    <mergeCell ref="N53:O53"/>
    <mergeCell ref="C50:F50"/>
    <mergeCell ref="K50:M50"/>
    <mergeCell ref="N50:O50"/>
    <mergeCell ref="C51:F51"/>
    <mergeCell ref="K51:M51"/>
    <mergeCell ref="N51:O51"/>
    <mergeCell ref="C48:F48"/>
    <mergeCell ref="K48:M48"/>
    <mergeCell ref="N48:O48"/>
    <mergeCell ref="C49:F49"/>
    <mergeCell ref="K49:M49"/>
    <mergeCell ref="N49:O49"/>
    <mergeCell ref="C46:F46"/>
    <mergeCell ref="K46:M46"/>
    <mergeCell ref="N46:O46"/>
    <mergeCell ref="C47:F47"/>
    <mergeCell ref="K47:M47"/>
    <mergeCell ref="N47:O47"/>
    <mergeCell ref="C44:F44"/>
    <mergeCell ref="K44:M44"/>
    <mergeCell ref="N44:O44"/>
    <mergeCell ref="C45:F45"/>
    <mergeCell ref="K45:M45"/>
    <mergeCell ref="N45:O45"/>
    <mergeCell ref="C42:F42"/>
    <mergeCell ref="K42:M42"/>
    <mergeCell ref="N42:O42"/>
    <mergeCell ref="C43:F43"/>
    <mergeCell ref="K43:M43"/>
    <mergeCell ref="N43:O43"/>
    <mergeCell ref="C40:F40"/>
    <mergeCell ref="K40:M40"/>
    <mergeCell ref="N40:O40"/>
    <mergeCell ref="C41:F41"/>
    <mergeCell ref="K41:M41"/>
    <mergeCell ref="N41:O41"/>
    <mergeCell ref="C38:F38"/>
    <mergeCell ref="K38:M38"/>
    <mergeCell ref="N38:O38"/>
    <mergeCell ref="C39:F39"/>
    <mergeCell ref="K39:M39"/>
    <mergeCell ref="N39:O39"/>
    <mergeCell ref="C36:F36"/>
    <mergeCell ref="K36:M36"/>
    <mergeCell ref="N36:O36"/>
    <mergeCell ref="C37:F37"/>
    <mergeCell ref="K37:M37"/>
    <mergeCell ref="N37:O37"/>
    <mergeCell ref="C34:F34"/>
    <mergeCell ref="K34:M34"/>
    <mergeCell ref="N34:O34"/>
    <mergeCell ref="C35:F35"/>
    <mergeCell ref="K35:M35"/>
    <mergeCell ref="N35:O35"/>
    <mergeCell ref="C32:F32"/>
    <mergeCell ref="K32:M32"/>
    <mergeCell ref="N32:O32"/>
    <mergeCell ref="C33:F33"/>
    <mergeCell ref="K33:M33"/>
    <mergeCell ref="N33:O33"/>
    <mergeCell ref="C30:F30"/>
    <mergeCell ref="K30:M30"/>
    <mergeCell ref="N30:O30"/>
    <mergeCell ref="C31:F31"/>
    <mergeCell ref="K31:M31"/>
    <mergeCell ref="N31:O31"/>
    <mergeCell ref="C28:F28"/>
    <mergeCell ref="K28:M28"/>
    <mergeCell ref="N28:O28"/>
    <mergeCell ref="C29:F29"/>
    <mergeCell ref="K29:M29"/>
    <mergeCell ref="N29:O29"/>
    <mergeCell ref="C26:F26"/>
    <mergeCell ref="K26:M26"/>
    <mergeCell ref="N26:O26"/>
    <mergeCell ref="C27:F27"/>
    <mergeCell ref="K27:M27"/>
    <mergeCell ref="N27:O27"/>
    <mergeCell ref="C24:F24"/>
    <mergeCell ref="K24:M24"/>
    <mergeCell ref="N24:O24"/>
    <mergeCell ref="C25:F25"/>
    <mergeCell ref="K25:M25"/>
    <mergeCell ref="N25:O25"/>
    <mergeCell ref="C22:F22"/>
    <mergeCell ref="K22:M22"/>
    <mergeCell ref="N22:O22"/>
    <mergeCell ref="C23:F23"/>
    <mergeCell ref="K23:M23"/>
    <mergeCell ref="N23:O23"/>
    <mergeCell ref="C19:F19"/>
    <mergeCell ref="K19:M19"/>
    <mergeCell ref="N19:O19"/>
    <mergeCell ref="C21:F21"/>
    <mergeCell ref="K21:M21"/>
    <mergeCell ref="N21:O21"/>
    <mergeCell ref="C17:F17"/>
    <mergeCell ref="K17:M17"/>
    <mergeCell ref="N17:O17"/>
    <mergeCell ref="C18:F18"/>
    <mergeCell ref="K18:M18"/>
    <mergeCell ref="N18:O18"/>
    <mergeCell ref="C15:F15"/>
    <mergeCell ref="K15:M15"/>
    <mergeCell ref="N15:O15"/>
    <mergeCell ref="C16:F16"/>
    <mergeCell ref="K16:M16"/>
    <mergeCell ref="N16:O16"/>
    <mergeCell ref="C13:F13"/>
    <mergeCell ref="K13:M13"/>
    <mergeCell ref="N13:O13"/>
    <mergeCell ref="C14:F14"/>
    <mergeCell ref="K14:M14"/>
    <mergeCell ref="N14:O14"/>
    <mergeCell ref="C11:F11"/>
    <mergeCell ref="K11:M11"/>
    <mergeCell ref="N11:O11"/>
    <mergeCell ref="C12:F12"/>
    <mergeCell ref="K12:M12"/>
    <mergeCell ref="N12:O12"/>
    <mergeCell ref="C9:F9"/>
    <mergeCell ref="K9:M9"/>
    <mergeCell ref="N9:O9"/>
    <mergeCell ref="C10:F10"/>
    <mergeCell ref="K10:M10"/>
    <mergeCell ref="N10:O10"/>
    <mergeCell ref="D5:J5"/>
    <mergeCell ref="B7:F7"/>
    <mergeCell ref="K7:M7"/>
    <mergeCell ref="N7:O7"/>
    <mergeCell ref="C8:F8"/>
    <mergeCell ref="K8:M8"/>
    <mergeCell ref="N8:O8"/>
    <mergeCell ref="B1:F1"/>
    <mergeCell ref="J2:K2"/>
    <mergeCell ref="M2:N2"/>
    <mergeCell ref="B2:E2"/>
    <mergeCell ref="J3:K3"/>
    <mergeCell ref="M3:N3"/>
    <mergeCell ref="B3:D3"/>
  </mergeCells>
  <pageMargins left="0" right="0" top="0" bottom="0.39375000000000004" header="0" footer="0"/>
  <pageSetup paperSize="9" scale="87" fitToHeight="0" orientation="portrait" r:id="rId1"/>
  <headerFooter alignWithMargins="0">
    <oddFooter xml:space="preserve">&amp;L&amp;"Arial"&amp;8 Lista: LCW148RBPR &amp;C&amp;"Arial"&amp;8 Stranica 
&amp;B&amp;P&amp;B &amp;R&amp;"Arial"&amp;8 * OBRADA LC *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4"/>
  <sheetViews>
    <sheetView showGridLines="0" workbookViewId="0">
      <pane ySplit="1" topLeftCell="A2" activePane="bottomLeft" state="frozenSplit"/>
      <selection pane="bottomLeft" activeCell="S43" sqref="S43"/>
    </sheetView>
  </sheetViews>
  <sheetFormatPr defaultRowHeight="12.75" x14ac:dyDescent="0.2"/>
  <cols>
    <col min="1" max="1" width="1.28515625" customWidth="1"/>
    <col min="2" max="2" width="6.7109375" customWidth="1"/>
    <col min="3" max="3" width="8" customWidth="1"/>
    <col min="4" max="4" width="17.42578125" customWidth="1"/>
    <col min="5" max="5" width="34.28515625" customWidth="1"/>
    <col min="6" max="6" width="1.28515625" customWidth="1"/>
    <col min="7" max="7" width="1.42578125" customWidth="1"/>
    <col min="8" max="8" width="1.28515625" customWidth="1"/>
    <col min="9" max="9" width="8.85546875" customWidth="1"/>
    <col min="10" max="10" width="0" hidden="1" customWidth="1"/>
    <col min="11" max="11" width="1.140625" customWidth="1"/>
    <col min="12" max="12" width="4.85546875" customWidth="1"/>
    <col min="13" max="14" width="13.140625" customWidth="1"/>
    <col min="15" max="15" width="0" hidden="1" customWidth="1"/>
    <col min="16" max="16" width="0.140625" customWidth="1"/>
    <col min="17" max="17" width="9" customWidth="1"/>
  </cols>
  <sheetData>
    <row r="1" spans="2:18" x14ac:dyDescent="0.2">
      <c r="B1" s="18" t="s">
        <v>0</v>
      </c>
      <c r="C1" s="19"/>
      <c r="D1" s="19"/>
      <c r="I1" s="74"/>
      <c r="L1" s="65"/>
      <c r="M1" s="65"/>
      <c r="N1" s="19"/>
      <c r="O1" s="19"/>
      <c r="P1" s="19"/>
    </row>
    <row r="2" spans="2:18" ht="14.1" customHeight="1" x14ac:dyDescent="0.2">
      <c r="B2" s="18" t="s">
        <v>1</v>
      </c>
      <c r="C2" s="19"/>
      <c r="D2" s="19"/>
      <c r="G2" s="66"/>
      <c r="H2" s="19"/>
      <c r="I2" s="19"/>
      <c r="L2" s="64"/>
      <c r="M2" s="64"/>
      <c r="N2" s="19"/>
      <c r="O2" s="19"/>
      <c r="P2" s="19"/>
    </row>
    <row r="3" spans="2:18" x14ac:dyDescent="0.2">
      <c r="B3" s="18" t="s">
        <v>2</v>
      </c>
      <c r="C3" s="19"/>
      <c r="D3" s="19"/>
      <c r="E3" s="28" t="s">
        <v>222</v>
      </c>
    </row>
    <row r="4" spans="2:18" x14ac:dyDescent="0.2">
      <c r="E4" s="19"/>
    </row>
    <row r="5" spans="2:18" ht="3.4" customHeight="1" x14ac:dyDescent="0.2"/>
    <row r="6" spans="2:18" ht="18" customHeight="1" x14ac:dyDescent="0.2">
      <c r="E6" s="73" t="s">
        <v>221</v>
      </c>
      <c r="F6" s="73"/>
    </row>
    <row r="7" spans="2:18" ht="3.4" customHeight="1" x14ac:dyDescent="0.2"/>
    <row r="8" spans="2:18" ht="14.1" customHeight="1" x14ac:dyDescent="0.2">
      <c r="E8" s="19"/>
      <c r="F8" s="19"/>
    </row>
    <row r="9" spans="2:18" ht="7.15" customHeight="1" thickBot="1" x14ac:dyDescent="0.25"/>
    <row r="10" spans="2:18" ht="52.5" thickTop="1" thickBot="1" x14ac:dyDescent="0.25">
      <c r="B10" s="72" t="s">
        <v>220</v>
      </c>
      <c r="C10" s="72" t="s">
        <v>219</v>
      </c>
      <c r="D10" s="71" t="s">
        <v>72</v>
      </c>
      <c r="E10" s="17"/>
      <c r="F10" s="17"/>
      <c r="G10" s="17"/>
      <c r="H10" s="70" t="s">
        <v>218</v>
      </c>
      <c r="I10" s="69"/>
      <c r="J10" s="69"/>
      <c r="K10" s="69"/>
      <c r="L10" s="69"/>
      <c r="M10" s="68" t="s">
        <v>217</v>
      </c>
      <c r="N10" s="68" t="s">
        <v>216</v>
      </c>
      <c r="Q10" s="12" t="s">
        <v>26</v>
      </c>
      <c r="R10" s="13" t="s">
        <v>27</v>
      </c>
    </row>
    <row r="11" spans="2:18" ht="13.5" thickTop="1" x14ac:dyDescent="0.2">
      <c r="B11" s="75" t="s">
        <v>14</v>
      </c>
      <c r="C11" s="76"/>
      <c r="D11" s="76"/>
      <c r="E11" s="76"/>
      <c r="F11" s="76"/>
      <c r="G11" s="76"/>
      <c r="H11" s="77">
        <f>H12+H15+H17+H19+H23</f>
        <v>1540220</v>
      </c>
      <c r="I11" s="78"/>
      <c r="J11" s="78"/>
      <c r="K11" s="78"/>
      <c r="L11" s="78"/>
      <c r="M11" s="79">
        <f>M12+M15+M17+M19+M23</f>
        <v>509501.40924082551</v>
      </c>
      <c r="N11" s="79">
        <f>N12+N15+N17+N19+N23</f>
        <v>553407.92000000004</v>
      </c>
      <c r="Q11" s="46">
        <f>(N11/M11)*100</f>
        <v>108.61754451760923</v>
      </c>
      <c r="R11" s="46">
        <f>(N11/H11)*100</f>
        <v>35.930446299879243</v>
      </c>
    </row>
    <row r="12" spans="2:18" x14ac:dyDescent="0.2">
      <c r="B12" s="80" t="s">
        <v>215</v>
      </c>
      <c r="C12" s="76"/>
      <c r="D12" s="76"/>
      <c r="E12" s="76"/>
      <c r="F12" s="76"/>
      <c r="G12" s="76"/>
      <c r="H12" s="81">
        <f>H13+H14</f>
        <v>384520</v>
      </c>
      <c r="I12" s="78"/>
      <c r="J12" s="78"/>
      <c r="K12" s="78"/>
      <c r="L12" s="78"/>
      <c r="M12" s="82">
        <v>43776.56</v>
      </c>
      <c r="N12" s="82">
        <f>N13+N14</f>
        <v>31081.79</v>
      </c>
      <c r="Q12" s="67">
        <f>(N12/M12)*100</f>
        <v>71.000987743212349</v>
      </c>
      <c r="R12" s="67">
        <f>(N12/H12)*100</f>
        <v>8.0832700509726418</v>
      </c>
    </row>
    <row r="13" spans="2:18" x14ac:dyDescent="0.2">
      <c r="B13" s="80" t="s">
        <v>214</v>
      </c>
      <c r="C13" s="76"/>
      <c r="D13" s="76"/>
      <c r="E13" s="76"/>
      <c r="F13" s="76"/>
      <c r="G13" s="76"/>
      <c r="H13" s="81">
        <v>309490</v>
      </c>
      <c r="I13" s="78"/>
      <c r="J13" s="78"/>
      <c r="K13" s="78"/>
      <c r="L13" s="78"/>
      <c r="M13" s="82">
        <v>43776.56</v>
      </c>
      <c r="N13" s="82">
        <v>3981.68</v>
      </c>
      <c r="Q13" s="67">
        <f>(N13/M13)*100</f>
        <v>9.0954611326243988</v>
      </c>
      <c r="R13" s="67">
        <f>(N13/H13)*100</f>
        <v>1.2865294516785679</v>
      </c>
    </row>
    <row r="14" spans="2:18" x14ac:dyDescent="0.2">
      <c r="B14" s="80" t="s">
        <v>213</v>
      </c>
      <c r="C14" s="76"/>
      <c r="D14" s="76"/>
      <c r="E14" s="76"/>
      <c r="F14" s="76"/>
      <c r="G14" s="76"/>
      <c r="H14" s="81">
        <v>75030</v>
      </c>
      <c r="I14" s="78"/>
      <c r="J14" s="78"/>
      <c r="K14" s="78"/>
      <c r="L14" s="78"/>
      <c r="M14" s="82"/>
      <c r="N14" s="82">
        <v>27100.11</v>
      </c>
      <c r="Q14" s="67"/>
      <c r="R14" s="67">
        <f>(N14/H14)*100</f>
        <v>36.119032387045181</v>
      </c>
    </row>
    <row r="15" spans="2:18" x14ac:dyDescent="0.2">
      <c r="B15" s="80" t="s">
        <v>212</v>
      </c>
      <c r="C15" s="76"/>
      <c r="D15" s="76"/>
      <c r="E15" s="76"/>
      <c r="F15" s="76"/>
      <c r="G15" s="76"/>
      <c r="H15" s="81">
        <v>3400</v>
      </c>
      <c r="I15" s="78"/>
      <c r="J15" s="78"/>
      <c r="K15" s="78"/>
      <c r="L15" s="78"/>
      <c r="M15" s="82">
        <v>0.46983874178777618</v>
      </c>
      <c r="N15" s="82">
        <v>0.01</v>
      </c>
      <c r="Q15" s="67">
        <f>(N15/M15)*100</f>
        <v>2.1283898305084747</v>
      </c>
      <c r="R15" s="67">
        <f>(N15/H15)*100</f>
        <v>2.9411764705882356E-4</v>
      </c>
    </row>
    <row r="16" spans="2:18" x14ac:dyDescent="0.2">
      <c r="B16" s="80" t="s">
        <v>211</v>
      </c>
      <c r="C16" s="76"/>
      <c r="D16" s="76"/>
      <c r="E16" s="76"/>
      <c r="F16" s="76"/>
      <c r="G16" s="76"/>
      <c r="H16" s="81">
        <v>3400</v>
      </c>
      <c r="I16" s="78"/>
      <c r="J16" s="78"/>
      <c r="K16" s="78"/>
      <c r="L16" s="78"/>
      <c r="M16" s="82">
        <v>0.46983874178777618</v>
      </c>
      <c r="N16" s="82">
        <v>0.01</v>
      </c>
      <c r="Q16" s="67">
        <f>(N16/M16)*100</f>
        <v>2.1283898305084747</v>
      </c>
      <c r="R16" s="67">
        <f>(N16/H16)*100</f>
        <v>2.9411764705882356E-4</v>
      </c>
    </row>
    <row r="17" spans="2:18" x14ac:dyDescent="0.2">
      <c r="B17" s="80" t="s">
        <v>210</v>
      </c>
      <c r="C17" s="76"/>
      <c r="D17" s="76"/>
      <c r="E17" s="76"/>
      <c r="F17" s="76"/>
      <c r="G17" s="76"/>
      <c r="H17" s="81">
        <v>9600</v>
      </c>
      <c r="I17" s="78"/>
      <c r="J17" s="78"/>
      <c r="K17" s="78"/>
      <c r="L17" s="78"/>
      <c r="M17" s="82">
        <v>1537.4875572367112</v>
      </c>
      <c r="N17" s="82">
        <v>8057.48</v>
      </c>
      <c r="Q17" s="67">
        <f>(N17/M17)*100</f>
        <v>524.06798104314487</v>
      </c>
      <c r="R17" s="67">
        <f>(N17/H17)*100</f>
        <v>83.932083333333324</v>
      </c>
    </row>
    <row r="18" spans="2:18" x14ac:dyDescent="0.2">
      <c r="B18" s="80" t="s">
        <v>209</v>
      </c>
      <c r="C18" s="76"/>
      <c r="D18" s="76"/>
      <c r="E18" s="76"/>
      <c r="F18" s="76"/>
      <c r="G18" s="76"/>
      <c r="H18" s="81">
        <v>9600</v>
      </c>
      <c r="I18" s="78"/>
      <c r="J18" s="78"/>
      <c r="K18" s="78"/>
      <c r="L18" s="78"/>
      <c r="M18" s="82">
        <v>1537.4875572367112</v>
      </c>
      <c r="N18" s="82">
        <v>8057.48</v>
      </c>
      <c r="Q18" s="67">
        <f>(N18/M18)*100</f>
        <v>524.06798104314487</v>
      </c>
      <c r="R18" s="67">
        <f>(N18/H18)*100</f>
        <v>83.932083333333324</v>
      </c>
    </row>
    <row r="19" spans="2:18" x14ac:dyDescent="0.2">
      <c r="B19" s="80" t="s">
        <v>208</v>
      </c>
      <c r="C19" s="76"/>
      <c r="D19" s="76"/>
      <c r="E19" s="76"/>
      <c r="F19" s="76"/>
      <c r="G19" s="76"/>
      <c r="H19" s="81">
        <f>H20+H21+H22</f>
        <v>1126000</v>
      </c>
      <c r="I19" s="78"/>
      <c r="J19" s="78"/>
      <c r="K19" s="78"/>
      <c r="L19" s="78"/>
      <c r="M19" s="82">
        <v>464133.80184484698</v>
      </c>
      <c r="N19" s="82">
        <v>509482.98</v>
      </c>
      <c r="Q19" s="67">
        <f>(N19/M19)*100</f>
        <v>109.77071223317463</v>
      </c>
      <c r="R19" s="67">
        <f>(N19/H19)*100</f>
        <v>45.247156305506216</v>
      </c>
    </row>
    <row r="20" spans="2:18" x14ac:dyDescent="0.2">
      <c r="B20" s="80" t="s">
        <v>207</v>
      </c>
      <c r="C20" s="76"/>
      <c r="D20" s="76"/>
      <c r="E20" s="76"/>
      <c r="F20" s="76"/>
      <c r="G20" s="76"/>
      <c r="H20" s="81">
        <v>1087400</v>
      </c>
      <c r="I20" s="78"/>
      <c r="J20" s="78"/>
      <c r="K20" s="78"/>
      <c r="L20" s="78"/>
      <c r="M20" s="82">
        <v>455949.75645364652</v>
      </c>
      <c r="N20" s="82">
        <v>509482.98</v>
      </c>
      <c r="Q20" s="67">
        <f>(N20/M20)*100</f>
        <v>111.74103567084499</v>
      </c>
      <c r="R20" s="67">
        <f>(N20/H20)*100</f>
        <v>46.853318006253446</v>
      </c>
    </row>
    <row r="21" spans="2:18" x14ac:dyDescent="0.2">
      <c r="B21" s="80" t="s">
        <v>206</v>
      </c>
      <c r="C21" s="76"/>
      <c r="D21" s="76"/>
      <c r="E21" s="76"/>
      <c r="F21" s="76"/>
      <c r="G21" s="76"/>
      <c r="H21" s="81">
        <v>31600</v>
      </c>
      <c r="I21" s="78"/>
      <c r="J21" s="78"/>
      <c r="K21" s="78"/>
      <c r="L21" s="78"/>
      <c r="M21" s="82">
        <v>8184.0453912004778</v>
      </c>
      <c r="N21" s="82">
        <v>0</v>
      </c>
      <c r="Q21" s="67">
        <f>(N21/M21)*100</f>
        <v>0</v>
      </c>
      <c r="R21" s="67">
        <f>(N21/H21)*100</f>
        <v>0</v>
      </c>
    </row>
    <row r="22" spans="2:18" x14ac:dyDescent="0.2">
      <c r="B22" s="80" t="s">
        <v>205</v>
      </c>
      <c r="C22" s="76"/>
      <c r="D22" s="76"/>
      <c r="E22" s="76"/>
      <c r="F22" s="76"/>
      <c r="G22" s="76"/>
      <c r="H22" s="81">
        <v>7000</v>
      </c>
      <c r="I22" s="78"/>
      <c r="J22" s="78"/>
      <c r="K22" s="78"/>
      <c r="L22" s="78"/>
      <c r="M22" s="82"/>
      <c r="N22" s="82">
        <v>0</v>
      </c>
      <c r="Q22" s="67"/>
      <c r="R22" s="67">
        <f>(N22/H22)*100</f>
        <v>0</v>
      </c>
    </row>
    <row r="23" spans="2:18" x14ac:dyDescent="0.2">
      <c r="B23" s="80" t="s">
        <v>204</v>
      </c>
      <c r="C23" s="76"/>
      <c r="D23" s="76"/>
      <c r="E23" s="76"/>
      <c r="F23" s="76"/>
      <c r="G23" s="76"/>
      <c r="H23" s="81">
        <v>16700</v>
      </c>
      <c r="I23" s="78"/>
      <c r="J23" s="78"/>
      <c r="K23" s="78"/>
      <c r="L23" s="78"/>
      <c r="M23" s="82">
        <v>53.09</v>
      </c>
      <c r="N23" s="82">
        <v>4785.66</v>
      </c>
      <c r="Q23" s="67">
        <f>(N23/M23)*100</f>
        <v>9014.2399698624977</v>
      </c>
      <c r="R23" s="67">
        <f>(N23/H23)*100</f>
        <v>28.656646706586823</v>
      </c>
    </row>
    <row r="24" spans="2:18" x14ac:dyDescent="0.2">
      <c r="B24" s="80" t="s">
        <v>203</v>
      </c>
      <c r="C24" s="76"/>
      <c r="D24" s="76"/>
      <c r="E24" s="76"/>
      <c r="F24" s="76"/>
      <c r="G24" s="76"/>
      <c r="H24" s="81">
        <v>16700</v>
      </c>
      <c r="I24" s="78"/>
      <c r="J24" s="78"/>
      <c r="K24" s="78"/>
      <c r="L24" s="78"/>
      <c r="M24" s="82">
        <v>53.09</v>
      </c>
      <c r="N24" s="82">
        <v>4785.66</v>
      </c>
      <c r="Q24" s="67">
        <f>(N24/M24)*100</f>
        <v>9014.2399698624977</v>
      </c>
      <c r="R24" s="67">
        <f>(N24/H24)*100</f>
        <v>28.656646706586823</v>
      </c>
    </row>
  </sheetData>
  <mergeCells count="39">
    <mergeCell ref="B12:G12"/>
    <mergeCell ref="H12:L12"/>
    <mergeCell ref="B13:G13"/>
    <mergeCell ref="H13:L13"/>
    <mergeCell ref="B14:G14"/>
    <mergeCell ref="H14:L14"/>
    <mergeCell ref="B24:G24"/>
    <mergeCell ref="H24:L24"/>
    <mergeCell ref="B21:G21"/>
    <mergeCell ref="H21:L21"/>
    <mergeCell ref="B22:G22"/>
    <mergeCell ref="H22:L22"/>
    <mergeCell ref="B23:G23"/>
    <mergeCell ref="H23:L23"/>
    <mergeCell ref="B18:G18"/>
    <mergeCell ref="H18:L18"/>
    <mergeCell ref="B19:G19"/>
    <mergeCell ref="H19:L19"/>
    <mergeCell ref="B20:G20"/>
    <mergeCell ref="H20:L20"/>
    <mergeCell ref="B15:G15"/>
    <mergeCell ref="H15:L15"/>
    <mergeCell ref="B16:G16"/>
    <mergeCell ref="H16:L16"/>
    <mergeCell ref="B17:G17"/>
    <mergeCell ref="H17:L17"/>
    <mergeCell ref="E6:F6"/>
    <mergeCell ref="E8:F8"/>
    <mergeCell ref="D10:G10"/>
    <mergeCell ref="H10:L10"/>
    <mergeCell ref="B11:G11"/>
    <mergeCell ref="H11:L11"/>
    <mergeCell ref="B1:D1"/>
    <mergeCell ref="L1:P1"/>
    <mergeCell ref="B2:D2"/>
    <mergeCell ref="G2:I2"/>
    <mergeCell ref="L2:P2"/>
    <mergeCell ref="B3:D3"/>
    <mergeCell ref="E3:E4"/>
  </mergeCells>
  <pageMargins left="0" right="0" top="0" bottom="0.39375000000000004" header="0" footer="0"/>
  <pageSetup paperSize="9" orientation="landscape" r:id="rId1"/>
  <headerFooter alignWithMargins="0">
    <oddFooter xml:space="preserve">&amp;L&amp;"Arial"&amp;8 Lista: LCW147TREW &amp;C&amp;"Arial"&amp;8 Stranica 
&amp;B&amp;P&amp;B &amp;R&amp;"Arial"&amp;8 * OBRADA LC * </oddFooter>
  </headerFooter>
  <ignoredErrors>
    <ignoredError sqref="H11:N24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showGridLines="0" workbookViewId="0">
      <pane ySplit="1" topLeftCell="A2" activePane="bottomLeft" state="frozenSplit"/>
      <selection pane="bottomLeft" activeCell="D7" sqref="D7"/>
    </sheetView>
  </sheetViews>
  <sheetFormatPr defaultRowHeight="12.75" x14ac:dyDescent="0.2"/>
  <cols>
    <col min="1" max="1" width="6.7109375" style="83" customWidth="1"/>
    <col min="2" max="2" width="8" style="83" customWidth="1"/>
    <col min="3" max="3" width="17.42578125" style="83" customWidth="1"/>
    <col min="4" max="4" width="33.7109375" style="83" customWidth="1"/>
    <col min="5" max="5" width="3.7109375" style="83" customWidth="1"/>
    <col min="6" max="6" width="5.140625" style="83" customWidth="1"/>
    <col min="7" max="7" width="0" style="83" hidden="1" customWidth="1"/>
    <col min="8" max="8" width="0.140625" style="83" hidden="1" customWidth="1"/>
    <col min="9" max="9" width="5.5703125" style="83" customWidth="1"/>
    <col min="10" max="10" width="12.28515625" style="83" customWidth="1"/>
    <col min="11" max="11" width="13.140625" style="83" customWidth="1"/>
    <col min="12" max="12" width="9" style="83" customWidth="1"/>
    <col min="13" max="13" width="9.28515625" style="83" customWidth="1"/>
    <col min="14" max="14" width="7.28515625" style="83" customWidth="1"/>
    <col min="15" max="16384" width="9.140625" style="83"/>
  </cols>
  <sheetData>
    <row r="1" spans="1:13" x14ac:dyDescent="0.2">
      <c r="A1" s="96" t="s">
        <v>0</v>
      </c>
      <c r="B1" s="85"/>
      <c r="C1" s="85"/>
      <c r="F1" s="99"/>
      <c r="I1" s="98"/>
      <c r="J1" s="98"/>
      <c r="K1" s="85"/>
      <c r="L1" s="85"/>
      <c r="M1" s="85"/>
    </row>
    <row r="2" spans="1:13" ht="14.1" customHeight="1" x14ac:dyDescent="0.2">
      <c r="A2" s="96" t="s">
        <v>1</v>
      </c>
      <c r="B2" s="85"/>
      <c r="C2" s="85"/>
      <c r="E2" s="85"/>
      <c r="F2" s="85"/>
      <c r="I2" s="97"/>
      <c r="J2" s="97"/>
      <c r="K2" s="85"/>
      <c r="L2" s="85"/>
      <c r="M2" s="85"/>
    </row>
    <row r="3" spans="1:13" x14ac:dyDescent="0.2">
      <c r="A3" s="96" t="s">
        <v>2</v>
      </c>
      <c r="B3" s="85"/>
      <c r="C3" s="85"/>
      <c r="D3" s="95" t="s">
        <v>222</v>
      </c>
    </row>
    <row r="4" spans="1:13" x14ac:dyDescent="0.2">
      <c r="D4" s="85"/>
    </row>
    <row r="5" spans="1:13" ht="3.4" customHeight="1" x14ac:dyDescent="0.2"/>
    <row r="6" spans="1:13" ht="3.4" customHeight="1" x14ac:dyDescent="0.2"/>
    <row r="7" spans="1:13" ht="14.1" customHeight="1" x14ac:dyDescent="0.2">
      <c r="D7" s="108" t="s">
        <v>221</v>
      </c>
    </row>
    <row r="8" spans="1:13" ht="7.15" customHeight="1" thickBot="1" x14ac:dyDescent="0.25"/>
    <row r="9" spans="1:13" ht="54" customHeight="1" thickTop="1" thickBot="1" x14ac:dyDescent="0.25">
      <c r="A9" s="94" t="s">
        <v>220</v>
      </c>
      <c r="B9" s="94" t="s">
        <v>219</v>
      </c>
      <c r="C9" s="93" t="s">
        <v>3</v>
      </c>
      <c r="D9" s="92"/>
      <c r="E9" s="91" t="s">
        <v>228</v>
      </c>
      <c r="F9" s="90"/>
      <c r="G9" s="90"/>
      <c r="H9" s="90"/>
      <c r="I9" s="90"/>
      <c r="J9" s="89" t="s">
        <v>227</v>
      </c>
      <c r="K9" s="89" t="s">
        <v>226</v>
      </c>
      <c r="L9" s="88" t="s">
        <v>26</v>
      </c>
      <c r="M9" s="87" t="s">
        <v>27</v>
      </c>
    </row>
    <row r="10" spans="1:13" ht="13.5" thickTop="1" x14ac:dyDescent="0.2">
      <c r="A10" s="100" t="s">
        <v>19</v>
      </c>
      <c r="B10" s="101"/>
      <c r="C10" s="101"/>
      <c r="D10" s="101"/>
      <c r="E10" s="102">
        <f>E11+E14+E16+E18+E22</f>
        <v>1540220</v>
      </c>
      <c r="F10" s="103"/>
      <c r="G10" s="103"/>
      <c r="H10" s="103"/>
      <c r="I10" s="103"/>
      <c r="J10" s="104">
        <f>J11+J14+J16+J18</f>
        <v>510684.81</v>
      </c>
      <c r="K10" s="104">
        <f>K11+K14+K16+K18+K22</f>
        <v>583939.95000000007</v>
      </c>
      <c r="L10" s="86">
        <f>(K10/J10)*100</f>
        <v>114.34449166404619</v>
      </c>
      <c r="M10" s="86">
        <f>(K10/E10)*100</f>
        <v>37.912762462505363</v>
      </c>
    </row>
    <row r="11" spans="1:13" x14ac:dyDescent="0.2">
      <c r="A11" s="105" t="s">
        <v>225</v>
      </c>
      <c r="B11" s="101"/>
      <c r="C11" s="101"/>
      <c r="D11" s="101"/>
      <c r="E11" s="106">
        <f>E12+E13</f>
        <v>384520</v>
      </c>
      <c r="F11" s="103"/>
      <c r="G11" s="103"/>
      <c r="H11" s="103"/>
      <c r="I11" s="103"/>
      <c r="J11" s="107">
        <v>31450.560000000001</v>
      </c>
      <c r="K11" s="107">
        <v>48771.96</v>
      </c>
      <c r="L11" s="84">
        <f>(K11/J11)*100</f>
        <v>155.07501297274197</v>
      </c>
      <c r="M11" s="84">
        <f>(K11/E11)*100</f>
        <v>12.683855196088631</v>
      </c>
    </row>
    <row r="12" spans="1:13" x14ac:dyDescent="0.2">
      <c r="A12" s="105" t="s">
        <v>224</v>
      </c>
      <c r="B12" s="101"/>
      <c r="C12" s="101"/>
      <c r="D12" s="101"/>
      <c r="E12" s="106">
        <f>21640+287850</f>
        <v>309490</v>
      </c>
      <c r="F12" s="103"/>
      <c r="G12" s="103"/>
      <c r="H12" s="103"/>
      <c r="I12" s="103"/>
      <c r="J12" s="107">
        <v>2126.5</v>
      </c>
      <c r="K12" s="107">
        <v>10439.08</v>
      </c>
      <c r="L12" s="84">
        <f>(K12/J12)*100</f>
        <v>490.90430284505055</v>
      </c>
      <c r="M12" s="84">
        <f>(K12/E12)*100</f>
        <v>3.372994280913761</v>
      </c>
    </row>
    <row r="13" spans="1:13" x14ac:dyDescent="0.2">
      <c r="A13" s="105" t="s">
        <v>223</v>
      </c>
      <c r="B13" s="101"/>
      <c r="C13" s="101"/>
      <c r="D13" s="101"/>
      <c r="E13" s="106">
        <f>69410+5620</f>
        <v>75030</v>
      </c>
      <c r="F13" s="103"/>
      <c r="G13" s="103"/>
      <c r="H13" s="103"/>
      <c r="I13" s="103"/>
      <c r="J13" s="107">
        <v>29324.06</v>
      </c>
      <c r="K13" s="107">
        <v>38332.879999999997</v>
      </c>
      <c r="L13" s="84">
        <f>(K13/J13)*100</f>
        <v>130.72159857809592</v>
      </c>
      <c r="M13" s="84">
        <f>(K13/E13)*100</f>
        <v>51.090070638411298</v>
      </c>
    </row>
    <row r="14" spans="1:13" x14ac:dyDescent="0.2">
      <c r="A14" s="105" t="s">
        <v>212</v>
      </c>
      <c r="B14" s="101"/>
      <c r="C14" s="101"/>
      <c r="D14" s="101"/>
      <c r="E14" s="106">
        <f>E15</f>
        <v>3400</v>
      </c>
      <c r="F14" s="103"/>
      <c r="G14" s="103"/>
      <c r="H14" s="103"/>
      <c r="I14" s="103"/>
      <c r="J14" s="107">
        <v>758.83</v>
      </c>
      <c r="K14" s="107">
        <f>K15</f>
        <v>1156.5700000000002</v>
      </c>
      <c r="L14" s="84">
        <f>(K14/J14)*100</f>
        <v>152.41490188843352</v>
      </c>
      <c r="M14" s="84">
        <f>(K14/E14)*100</f>
        <v>34.016764705882359</v>
      </c>
    </row>
    <row r="15" spans="1:13" x14ac:dyDescent="0.2">
      <c r="A15" s="105" t="s">
        <v>211</v>
      </c>
      <c r="B15" s="101"/>
      <c r="C15" s="101"/>
      <c r="D15" s="101"/>
      <c r="E15" s="106">
        <f>1800+1600</f>
        <v>3400</v>
      </c>
      <c r="F15" s="103"/>
      <c r="G15" s="103"/>
      <c r="H15" s="103"/>
      <c r="I15" s="103"/>
      <c r="J15" s="107">
        <v>758.83</v>
      </c>
      <c r="K15" s="107">
        <f>971.45+185.12</f>
        <v>1156.5700000000002</v>
      </c>
      <c r="L15" s="84">
        <f>(K15/J15)*100</f>
        <v>152.41490188843352</v>
      </c>
      <c r="M15" s="84">
        <f>(K15/E15)*100</f>
        <v>34.016764705882359</v>
      </c>
    </row>
    <row r="16" spans="1:13" x14ac:dyDescent="0.2">
      <c r="A16" s="105" t="s">
        <v>210</v>
      </c>
      <c r="B16" s="101"/>
      <c r="C16" s="101"/>
      <c r="D16" s="101"/>
      <c r="E16" s="106">
        <v>9600</v>
      </c>
      <c r="F16" s="103"/>
      <c r="G16" s="103"/>
      <c r="H16" s="103"/>
      <c r="I16" s="103"/>
      <c r="J16" s="107">
        <v>3154.03</v>
      </c>
      <c r="K16" s="107">
        <v>6089.9</v>
      </c>
      <c r="L16" s="84">
        <f>(K16/J16)*100</f>
        <v>193.08313490994061</v>
      </c>
      <c r="M16" s="84">
        <f>(K16/E16)*100</f>
        <v>63.436458333333334</v>
      </c>
    </row>
    <row r="17" spans="1:13" x14ac:dyDescent="0.2">
      <c r="A17" s="105" t="s">
        <v>209</v>
      </c>
      <c r="B17" s="101"/>
      <c r="C17" s="101"/>
      <c r="D17" s="101"/>
      <c r="E17" s="106">
        <v>9600</v>
      </c>
      <c r="F17" s="103"/>
      <c r="G17" s="103"/>
      <c r="H17" s="103"/>
      <c r="I17" s="103"/>
      <c r="J17" s="107">
        <v>3154.03</v>
      </c>
      <c r="K17" s="107">
        <v>6089.9</v>
      </c>
      <c r="L17" s="84">
        <f>(K17/J17)*100</f>
        <v>193.08313490994061</v>
      </c>
      <c r="M17" s="84">
        <f>(K17/E17)*100</f>
        <v>63.436458333333334</v>
      </c>
    </row>
    <row r="18" spans="1:13" x14ac:dyDescent="0.2">
      <c r="A18" s="105" t="s">
        <v>208</v>
      </c>
      <c r="B18" s="101"/>
      <c r="C18" s="101"/>
      <c r="D18" s="101"/>
      <c r="E18" s="106">
        <f>E19+E20+E21</f>
        <v>1126000</v>
      </c>
      <c r="F18" s="103"/>
      <c r="G18" s="103"/>
      <c r="H18" s="103"/>
      <c r="I18" s="103"/>
      <c r="J18" s="107">
        <v>475321.39</v>
      </c>
      <c r="K18" s="107">
        <f>SUM(K19:K21)</f>
        <v>523784.36</v>
      </c>
      <c r="L18" s="84">
        <f>(K18/J18)*100</f>
        <v>110.19583191911477</v>
      </c>
      <c r="M18" s="84">
        <f>(K18/E18)*100</f>
        <v>46.517261101243342</v>
      </c>
    </row>
    <row r="19" spans="1:13" x14ac:dyDescent="0.2">
      <c r="A19" s="105" t="s">
        <v>207</v>
      </c>
      <c r="B19" s="101"/>
      <c r="C19" s="101"/>
      <c r="D19" s="101"/>
      <c r="E19" s="106">
        <f>1080900+6500</f>
        <v>1087400</v>
      </c>
      <c r="F19" s="103"/>
      <c r="G19" s="103"/>
      <c r="H19" s="103"/>
      <c r="I19" s="103"/>
      <c r="J19" s="107">
        <v>467137.35</v>
      </c>
      <c r="K19" s="107">
        <f>510920.67+5734.8</f>
        <v>516655.47</v>
      </c>
      <c r="L19" s="84">
        <f>(K19/J19)*100</f>
        <v>110.60033414155387</v>
      </c>
      <c r="M19" s="84">
        <f>(K19/E19)*100</f>
        <v>47.512917969468454</v>
      </c>
    </row>
    <row r="20" spans="1:13" x14ac:dyDescent="0.2">
      <c r="A20" s="105" t="s">
        <v>206</v>
      </c>
      <c r="B20" s="101"/>
      <c r="C20" s="101"/>
      <c r="D20" s="101"/>
      <c r="E20" s="106">
        <v>31600</v>
      </c>
      <c r="F20" s="103"/>
      <c r="G20" s="103"/>
      <c r="H20" s="103"/>
      <c r="I20" s="103"/>
      <c r="J20" s="107">
        <v>8184.05</v>
      </c>
      <c r="K20" s="107">
        <v>6169.09</v>
      </c>
      <c r="L20" s="84">
        <f>(K20/J20)*100</f>
        <v>75.379427056286303</v>
      </c>
      <c r="M20" s="84">
        <f>(K20/E20)*100</f>
        <v>19.522436708860759</v>
      </c>
    </row>
    <row r="21" spans="1:13" x14ac:dyDescent="0.2">
      <c r="A21" s="105" t="s">
        <v>205</v>
      </c>
      <c r="B21" s="101"/>
      <c r="C21" s="101"/>
      <c r="D21" s="101"/>
      <c r="E21" s="106">
        <f>1000+6000</f>
        <v>7000</v>
      </c>
      <c r="F21" s="103"/>
      <c r="G21" s="103"/>
      <c r="H21" s="103"/>
      <c r="I21" s="103"/>
      <c r="J21" s="107">
        <v>0</v>
      </c>
      <c r="K21" s="107">
        <f>86.8+873</f>
        <v>959.8</v>
      </c>
      <c r="L21" s="84"/>
      <c r="M21" s="84">
        <f>(K21/E21)*100</f>
        <v>13.711428571428572</v>
      </c>
    </row>
    <row r="22" spans="1:13" x14ac:dyDescent="0.2">
      <c r="A22" s="105" t="s">
        <v>204</v>
      </c>
      <c r="B22" s="101"/>
      <c r="C22" s="101"/>
      <c r="D22" s="101"/>
      <c r="E22" s="106">
        <f>E23</f>
        <v>16700</v>
      </c>
      <c r="F22" s="103"/>
      <c r="G22" s="103"/>
      <c r="H22" s="103"/>
      <c r="I22" s="103"/>
      <c r="J22" s="107">
        <v>0</v>
      </c>
      <c r="K22" s="107">
        <v>4137.16</v>
      </c>
      <c r="L22" s="84"/>
      <c r="M22" s="84">
        <f>(K22/E22)*100</f>
        <v>24.773413173652695</v>
      </c>
    </row>
    <row r="23" spans="1:13" x14ac:dyDescent="0.2">
      <c r="A23" s="105" t="s">
        <v>203</v>
      </c>
      <c r="B23" s="101"/>
      <c r="C23" s="101"/>
      <c r="D23" s="101"/>
      <c r="E23" s="106">
        <v>16700</v>
      </c>
      <c r="F23" s="103"/>
      <c r="G23" s="103"/>
      <c r="H23" s="103"/>
      <c r="I23" s="103"/>
      <c r="J23" s="107">
        <v>0</v>
      </c>
      <c r="K23" s="107">
        <v>4137.16</v>
      </c>
      <c r="L23" s="84"/>
      <c r="M23" s="84">
        <f>(K23/E23)*100</f>
        <v>24.773413173652695</v>
      </c>
    </row>
    <row r="24" spans="1:13" ht="409.6" hidden="1" customHeight="1" x14ac:dyDescent="0.2"/>
  </sheetData>
  <mergeCells count="37">
    <mergeCell ref="A10:D10"/>
    <mergeCell ref="E10:I10"/>
    <mergeCell ref="A1:C1"/>
    <mergeCell ref="I1:M1"/>
    <mergeCell ref="A2:C2"/>
    <mergeCell ref="E2:F2"/>
    <mergeCell ref="I2:M2"/>
    <mergeCell ref="A3:C3"/>
    <mergeCell ref="A11:D11"/>
    <mergeCell ref="E11:I11"/>
    <mergeCell ref="A12:D12"/>
    <mergeCell ref="E12:I12"/>
    <mergeCell ref="A13:D13"/>
    <mergeCell ref="E13:I13"/>
    <mergeCell ref="D3:D4"/>
    <mergeCell ref="C9:D9"/>
    <mergeCell ref="E9:I9"/>
    <mergeCell ref="A14:D14"/>
    <mergeCell ref="E14:I14"/>
    <mergeCell ref="A15:D15"/>
    <mergeCell ref="E15:I15"/>
    <mergeCell ref="A16:D16"/>
    <mergeCell ref="E16:I16"/>
    <mergeCell ref="A17:D17"/>
    <mergeCell ref="E17:I17"/>
    <mergeCell ref="A18:D18"/>
    <mergeCell ref="E18:I18"/>
    <mergeCell ref="A19:D19"/>
    <mergeCell ref="E19:I19"/>
    <mergeCell ref="A23:D23"/>
    <mergeCell ref="E23:I23"/>
    <mergeCell ref="A20:D20"/>
    <mergeCell ref="E20:I20"/>
    <mergeCell ref="A21:D21"/>
    <mergeCell ref="E21:I21"/>
    <mergeCell ref="A22:D22"/>
    <mergeCell ref="E22:I22"/>
  </mergeCells>
  <pageMargins left="0" right="0" top="0" bottom="0.39375000000000004" header="0" footer="0"/>
  <pageSetup paperSize="9" orientation="landscape" horizontalDpi="0" verticalDpi="0"/>
  <headerFooter alignWithMargins="0">
    <oddFooter xml:space="preserve">&amp;L&amp;"Arial"&amp;8 Lista: LCW147TREW &amp;C&amp;"Arial"&amp;8 Stranica 
&amp;B&amp;P&amp;B &amp;R&amp;"Arial"&amp;8 * OBRADA LC * </oddFooter>
  </headerFooter>
  <ignoredErrors>
    <ignoredError sqref="E10:K25" unlocked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showGridLines="0" workbookViewId="0">
      <pane ySplit="1" topLeftCell="A2" activePane="bottomLeft" state="frozenSplit"/>
      <selection pane="bottomLeft" activeCell="E16" sqref="E16"/>
    </sheetView>
  </sheetViews>
  <sheetFormatPr defaultRowHeight="12.75" x14ac:dyDescent="0.2"/>
  <cols>
    <col min="1" max="1" width="6.7109375" style="83" customWidth="1"/>
    <col min="2" max="2" width="8" style="83" customWidth="1"/>
    <col min="3" max="3" width="17.42578125" style="83" customWidth="1"/>
    <col min="4" max="4" width="1.28515625" style="83" customWidth="1"/>
    <col min="5" max="5" width="33.7109375" style="83" customWidth="1"/>
    <col min="6" max="6" width="3.7109375" style="83" customWidth="1"/>
    <col min="7" max="7" width="8.28515625" style="83" customWidth="1"/>
    <col min="8" max="8" width="0" style="83" hidden="1" customWidth="1"/>
    <col min="9" max="9" width="1.140625" style="83" customWidth="1"/>
    <col min="10" max="10" width="2" style="83" customWidth="1"/>
    <col min="11" max="11" width="11" style="83" customWidth="1"/>
    <col min="12" max="12" width="12" style="83" customWidth="1"/>
    <col min="13" max="13" width="11" style="83" customWidth="1"/>
    <col min="14" max="14" width="12.42578125" style="83" customWidth="1"/>
    <col min="15" max="15" width="8.5703125" style="83" customWidth="1"/>
    <col min="16" max="16384" width="9.140625" style="83"/>
  </cols>
  <sheetData>
    <row r="1" spans="1:14" x14ac:dyDescent="0.2">
      <c r="A1" s="96" t="s">
        <v>0</v>
      </c>
      <c r="B1" s="85"/>
      <c r="C1" s="85"/>
      <c r="G1" s="99"/>
      <c r="J1" s="98"/>
      <c r="K1" s="98"/>
      <c r="L1" s="85"/>
      <c r="M1" s="85"/>
      <c r="N1" s="85"/>
    </row>
    <row r="2" spans="1:14" ht="14.1" customHeight="1" x14ac:dyDescent="0.2">
      <c r="A2" s="96" t="s">
        <v>1</v>
      </c>
      <c r="B2" s="85"/>
      <c r="C2" s="85"/>
      <c r="F2" s="85"/>
      <c r="G2" s="85"/>
      <c r="J2" s="97"/>
      <c r="K2" s="97"/>
      <c r="L2" s="85"/>
      <c r="M2" s="85"/>
      <c r="N2" s="85"/>
    </row>
    <row r="3" spans="1:14" x14ac:dyDescent="0.2">
      <c r="A3" s="96" t="s">
        <v>2</v>
      </c>
      <c r="B3" s="85"/>
      <c r="C3" s="85"/>
      <c r="E3" s="95" t="s">
        <v>222</v>
      </c>
    </row>
    <row r="4" spans="1:14" x14ac:dyDescent="0.2">
      <c r="E4" s="85"/>
    </row>
    <row r="5" spans="1:14" ht="3.4" customHeight="1" x14ac:dyDescent="0.2"/>
    <row r="6" spans="1:14" ht="18" customHeight="1" x14ac:dyDescent="0.2">
      <c r="D6" s="110" t="s">
        <v>307</v>
      </c>
      <c r="E6" s="110"/>
    </row>
    <row r="7" spans="1:14" ht="3.4" customHeight="1" x14ac:dyDescent="0.2"/>
    <row r="8" spans="1:14" ht="14.1" customHeight="1" x14ac:dyDescent="0.2">
      <c r="D8" s="109"/>
      <c r="E8" s="109"/>
    </row>
    <row r="9" spans="1:14" ht="7.15" customHeight="1" thickBot="1" x14ac:dyDescent="0.25"/>
    <row r="10" spans="1:14" ht="42" customHeight="1" thickTop="1" thickBot="1" x14ac:dyDescent="0.25">
      <c r="A10" s="94" t="s">
        <v>220</v>
      </c>
      <c r="B10" s="94" t="s">
        <v>219</v>
      </c>
      <c r="C10" s="93" t="s">
        <v>3</v>
      </c>
      <c r="D10" s="92"/>
      <c r="E10" s="92"/>
      <c r="F10" s="91" t="s">
        <v>228</v>
      </c>
      <c r="G10" s="90"/>
      <c r="H10" s="90"/>
      <c r="I10" s="90"/>
      <c r="J10" s="90"/>
      <c r="K10" s="89" t="s">
        <v>227</v>
      </c>
      <c r="L10" s="89" t="s">
        <v>226</v>
      </c>
      <c r="M10" s="88" t="s">
        <v>26</v>
      </c>
      <c r="N10" s="87" t="s">
        <v>27</v>
      </c>
    </row>
    <row r="11" spans="1:14" ht="13.5" thickTop="1" x14ac:dyDescent="0.2">
      <c r="A11" s="100" t="s">
        <v>19</v>
      </c>
      <c r="B11" s="101"/>
      <c r="C11" s="101"/>
      <c r="D11" s="101"/>
      <c r="E11" s="101"/>
      <c r="F11" s="102">
        <v>1540220</v>
      </c>
      <c r="G11" s="103"/>
      <c r="H11" s="103"/>
      <c r="I11" s="103"/>
      <c r="J11" s="103"/>
      <c r="K11" s="104">
        <v>510684.81</v>
      </c>
      <c r="L11" s="104">
        <v>583939.94999999995</v>
      </c>
      <c r="M11" s="86">
        <f>(L11/K11)*100</f>
        <v>114.34449166404616</v>
      </c>
      <c r="N11" s="86">
        <f>(L11/F11)*100</f>
        <v>37.912762462505356</v>
      </c>
    </row>
    <row r="12" spans="1:14" x14ac:dyDescent="0.2">
      <c r="A12" s="105" t="s">
        <v>306</v>
      </c>
      <c r="B12" s="101"/>
      <c r="C12" s="101"/>
      <c r="D12" s="101"/>
      <c r="E12" s="101"/>
      <c r="F12" s="106">
        <v>1540220</v>
      </c>
      <c r="G12" s="103"/>
      <c r="H12" s="103"/>
      <c r="I12" s="103"/>
      <c r="J12" s="103"/>
      <c r="K12" s="107">
        <v>510684.81</v>
      </c>
      <c r="L12" s="107">
        <v>583939.94999999995</v>
      </c>
      <c r="M12" s="84">
        <f>(L12/K12)*100</f>
        <v>114.34449166404616</v>
      </c>
      <c r="N12" s="84">
        <f>(L12/F12)*100</f>
        <v>37.912762462505356</v>
      </c>
    </row>
    <row r="13" spans="1:14" x14ac:dyDescent="0.2">
      <c r="A13" s="105" t="s">
        <v>305</v>
      </c>
      <c r="B13" s="101"/>
      <c r="C13" s="101"/>
      <c r="D13" s="101"/>
      <c r="E13" s="101"/>
      <c r="F13" s="106">
        <v>1540220</v>
      </c>
      <c r="G13" s="103"/>
      <c r="H13" s="103"/>
      <c r="I13" s="103"/>
      <c r="J13" s="103"/>
      <c r="K13" s="107">
        <v>510684.81</v>
      </c>
      <c r="L13" s="107">
        <v>583929.94999999995</v>
      </c>
      <c r="M13" s="84">
        <f>(L13/K13)*100</f>
        <v>114.34253350907382</v>
      </c>
      <c r="N13" s="84">
        <f>(L13/F13)*100</f>
        <v>37.912113204607131</v>
      </c>
    </row>
    <row r="14" spans="1:14" x14ac:dyDescent="0.2">
      <c r="A14" s="204"/>
      <c r="B14" s="204"/>
      <c r="C14" s="204"/>
      <c r="D14" s="204"/>
      <c r="E14" s="204"/>
      <c r="F14" s="204"/>
      <c r="G14" s="204"/>
      <c r="H14" s="204"/>
      <c r="I14" s="204"/>
      <c r="J14" s="204"/>
      <c r="K14" s="204"/>
      <c r="L14" s="204"/>
    </row>
  </sheetData>
  <mergeCells count="17">
    <mergeCell ref="A12:E12"/>
    <mergeCell ref="F12:J12"/>
    <mergeCell ref="A13:E13"/>
    <mergeCell ref="F13:J13"/>
    <mergeCell ref="D6:E6"/>
    <mergeCell ref="D8:E8"/>
    <mergeCell ref="C10:E10"/>
    <mergeCell ref="F10:J10"/>
    <mergeCell ref="A11:E11"/>
    <mergeCell ref="F11:J11"/>
    <mergeCell ref="A1:C1"/>
    <mergeCell ref="J1:N1"/>
    <mergeCell ref="A2:C2"/>
    <mergeCell ref="F2:G2"/>
    <mergeCell ref="J2:N2"/>
    <mergeCell ref="A3:C3"/>
    <mergeCell ref="E3:E4"/>
  </mergeCells>
  <pageMargins left="0" right="0" top="0" bottom="0.39375000000000004" header="0" footer="0"/>
  <pageSetup paperSize="9" orientation="landscape" r:id="rId1"/>
  <headerFooter alignWithMargins="0">
    <oddFooter xml:space="preserve">&amp;L&amp;"Arial"&amp;8 Lista: LCW147TREW &amp;C&amp;"Arial"&amp;8 Stranica 
&amp;B&amp;P&amp;B &amp;R&amp;"Arial"&amp;8 * OBRADA LC *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10"/>
  <sheetViews>
    <sheetView showGridLines="0" workbookViewId="0">
      <pane ySplit="1" topLeftCell="A2" activePane="bottomLeft" state="frozenSplit"/>
      <selection pane="bottomLeft" activeCell="D10" sqref="D10"/>
    </sheetView>
  </sheetViews>
  <sheetFormatPr defaultRowHeight="12.75" x14ac:dyDescent="0.2"/>
  <cols>
    <col min="1" max="1" width="1.28515625" style="83" customWidth="1"/>
    <col min="2" max="2" width="32.28515625" style="83" customWidth="1"/>
    <col min="3" max="3" width="6.7109375" style="83" customWidth="1"/>
    <col min="4" max="4" width="14.7109375" style="83" customWidth="1"/>
    <col min="5" max="5" width="9.42578125" style="83" customWidth="1"/>
    <col min="6" max="6" width="1.28515625" style="83" customWidth="1"/>
    <col min="7" max="7" width="33.7109375" style="83" customWidth="1"/>
    <col min="8" max="8" width="1.28515625" style="83" customWidth="1"/>
    <col min="9" max="9" width="29.5703125" style="83" customWidth="1"/>
    <col min="10" max="10" width="5.28515625" style="83" customWidth="1"/>
    <col min="11" max="11" width="8.28515625" style="83" customWidth="1"/>
    <col min="12" max="12" width="0" style="83" hidden="1" customWidth="1"/>
    <col min="13" max="13" width="1.140625" style="83" customWidth="1"/>
    <col min="14" max="14" width="13.5703125" style="83" customWidth="1"/>
    <col min="15" max="15" width="0.85546875" style="83" customWidth="1"/>
    <col min="16" max="16384" width="9.140625" style="83"/>
  </cols>
  <sheetData>
    <row r="1" spans="2:14" ht="7.15" customHeight="1" x14ac:dyDescent="0.2"/>
    <row r="2" spans="2:14" x14ac:dyDescent="0.2">
      <c r="B2" s="96" t="s">
        <v>0</v>
      </c>
      <c r="C2" s="85"/>
      <c r="D2" s="85"/>
      <c r="K2" s="99"/>
      <c r="N2" s="114"/>
    </row>
    <row r="3" spans="2:14" x14ac:dyDescent="0.2">
      <c r="B3" s="96" t="s">
        <v>1</v>
      </c>
      <c r="C3" s="85"/>
      <c r="J3" s="113"/>
      <c r="K3" s="85"/>
      <c r="N3" s="112"/>
    </row>
    <row r="4" spans="2:14" x14ac:dyDescent="0.2">
      <c r="B4" s="111" t="s">
        <v>2</v>
      </c>
      <c r="G4" s="95" t="s">
        <v>222</v>
      </c>
    </row>
    <row r="5" spans="2:14" x14ac:dyDescent="0.2">
      <c r="G5" s="85"/>
    </row>
    <row r="6" spans="2:14" ht="3.4" customHeight="1" x14ac:dyDescent="0.2"/>
    <row r="7" spans="2:14" ht="18" customHeight="1" x14ac:dyDescent="0.2">
      <c r="F7" s="110" t="s">
        <v>229</v>
      </c>
      <c r="G7" s="85"/>
      <c r="H7" s="85"/>
    </row>
    <row r="8" spans="2:14" ht="3.4" customHeight="1" x14ac:dyDescent="0.2"/>
    <row r="9" spans="2:14" ht="14.1" customHeight="1" x14ac:dyDescent="0.2">
      <c r="F9" s="109"/>
      <c r="G9" s="85"/>
      <c r="H9" s="85"/>
    </row>
    <row r="10" spans="2:14" ht="7.15" customHeight="1" x14ac:dyDescent="0.2"/>
  </sheetData>
  <mergeCells count="6">
    <mergeCell ref="B2:D2"/>
    <mergeCell ref="B3:C3"/>
    <mergeCell ref="J3:K3"/>
    <mergeCell ref="G4:G5"/>
    <mergeCell ref="F7:H7"/>
    <mergeCell ref="F9:H9"/>
  </mergeCells>
  <pageMargins left="0" right="0" top="0" bottom="0.39375000000000004" header="0" footer="0"/>
  <pageSetup paperSize="9" scale="95" orientation="landscape" r:id="rId1"/>
  <headerFooter alignWithMargins="0">
    <oddFooter xml:space="preserve">&amp;L&amp;"Arial"&amp;8 Lista: LCW147TREW &amp;C&amp;"Arial"&amp;8 Stranica 
&amp;B&amp;P&amp;B &amp;R&amp;"Arial"&amp;8 * OBRADA LC *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10"/>
  <sheetViews>
    <sheetView showGridLines="0" workbookViewId="0">
      <pane ySplit="1" topLeftCell="A2" activePane="bottomLeft" state="frozenSplit"/>
      <selection pane="bottomLeft" activeCell="J15" sqref="J15"/>
    </sheetView>
  </sheetViews>
  <sheetFormatPr defaultRowHeight="12.75" x14ac:dyDescent="0.2"/>
  <cols>
    <col min="1" max="1" width="1.28515625" style="83" customWidth="1"/>
    <col min="2" max="2" width="32.28515625" style="83" customWidth="1"/>
    <col min="3" max="3" width="6.7109375" style="83" customWidth="1"/>
    <col min="4" max="4" width="14.7109375" style="83" customWidth="1"/>
    <col min="5" max="5" width="9.42578125" style="83" customWidth="1"/>
    <col min="6" max="6" width="1.28515625" style="83" customWidth="1"/>
    <col min="7" max="7" width="33.7109375" style="83" customWidth="1"/>
    <col min="8" max="8" width="1.28515625" style="83" customWidth="1"/>
    <col min="9" max="9" width="29.5703125" style="83" customWidth="1"/>
    <col min="10" max="10" width="5.28515625" style="83" customWidth="1"/>
    <col min="11" max="11" width="8.28515625" style="83" customWidth="1"/>
    <col min="12" max="12" width="0" style="83" hidden="1" customWidth="1"/>
    <col min="13" max="13" width="1.140625" style="83" customWidth="1"/>
    <col min="14" max="14" width="13.5703125" style="83" customWidth="1"/>
    <col min="15" max="15" width="0.85546875" style="83" customWidth="1"/>
    <col min="16" max="16384" width="9.140625" style="83"/>
  </cols>
  <sheetData>
    <row r="1" spans="2:14" ht="7.15" customHeight="1" x14ac:dyDescent="0.2"/>
    <row r="2" spans="2:14" x14ac:dyDescent="0.2">
      <c r="B2" s="96" t="s">
        <v>0</v>
      </c>
      <c r="C2" s="85"/>
      <c r="D2" s="85"/>
      <c r="K2" s="99"/>
      <c r="N2" s="114"/>
    </row>
    <row r="3" spans="2:14" x14ac:dyDescent="0.2">
      <c r="B3" s="96" t="s">
        <v>1</v>
      </c>
      <c r="C3" s="85"/>
      <c r="J3" s="113"/>
      <c r="K3" s="85"/>
      <c r="N3" s="112"/>
    </row>
    <row r="4" spans="2:14" x14ac:dyDescent="0.2">
      <c r="B4" s="111" t="s">
        <v>2</v>
      </c>
      <c r="G4" s="95" t="s">
        <v>222</v>
      </c>
    </row>
    <row r="5" spans="2:14" x14ac:dyDescent="0.2">
      <c r="G5" s="85"/>
    </row>
    <row r="6" spans="2:14" ht="3.4" customHeight="1" x14ac:dyDescent="0.2"/>
    <row r="7" spans="2:14" ht="18" customHeight="1" x14ac:dyDescent="0.2">
      <c r="F7" s="110" t="s">
        <v>229</v>
      </c>
      <c r="G7" s="85"/>
      <c r="H7" s="85"/>
    </row>
    <row r="8" spans="2:14" ht="3.4" customHeight="1" x14ac:dyDescent="0.2"/>
    <row r="9" spans="2:14" ht="14.1" customHeight="1" x14ac:dyDescent="0.2">
      <c r="F9" s="109"/>
      <c r="G9" s="85"/>
      <c r="H9" s="85"/>
    </row>
    <row r="10" spans="2:14" ht="7.15" customHeight="1" x14ac:dyDescent="0.2"/>
  </sheetData>
  <mergeCells count="6">
    <mergeCell ref="B2:D2"/>
    <mergeCell ref="B3:C3"/>
    <mergeCell ref="J3:K3"/>
    <mergeCell ref="G4:G5"/>
    <mergeCell ref="F7:H7"/>
    <mergeCell ref="F9:H9"/>
  </mergeCells>
  <pageMargins left="0" right="0" top="0" bottom="0.39375000000000004" header="0" footer="0"/>
  <pageSetup paperSize="9" scale="95" orientation="landscape" r:id="rId1"/>
  <headerFooter alignWithMargins="0">
    <oddFooter xml:space="preserve">&amp;L&amp;"Arial"&amp;8 Lista: LCW147TREW &amp;C&amp;"Arial"&amp;8 Stranica 
&amp;B&amp;P&amp;B &amp;R&amp;"Arial"&amp;8 * OBRADA LC *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0"/>
  <sheetViews>
    <sheetView showGridLines="0" workbookViewId="0">
      <pane ySplit="1" topLeftCell="A2" activePane="bottomLeft" state="frozenSplit"/>
      <selection pane="bottomLeft" activeCell="G13" sqref="G13"/>
    </sheetView>
  </sheetViews>
  <sheetFormatPr defaultRowHeight="12.75" x14ac:dyDescent="0.2"/>
  <cols>
    <col min="1" max="1" width="1.28515625" style="83" customWidth="1"/>
    <col min="2" max="2" width="32.28515625" style="83" customWidth="1"/>
    <col min="3" max="3" width="6.7109375" style="83" customWidth="1"/>
    <col min="4" max="4" width="14.7109375" style="83" customWidth="1"/>
    <col min="5" max="5" width="9.42578125" style="83" customWidth="1"/>
    <col min="6" max="6" width="1.28515625" style="83" customWidth="1"/>
    <col min="7" max="7" width="33.7109375" style="83" customWidth="1"/>
    <col min="8" max="8" width="1.28515625" style="83" customWidth="1"/>
    <col min="9" max="9" width="29.5703125" style="83" customWidth="1"/>
    <col min="10" max="10" width="5.28515625" style="83" customWidth="1"/>
    <col min="11" max="11" width="8.28515625" style="83" customWidth="1"/>
    <col min="12" max="12" width="0" style="83" hidden="1" customWidth="1"/>
    <col min="13" max="13" width="1.140625" style="83" customWidth="1"/>
    <col min="14" max="14" width="13.5703125" style="83" customWidth="1"/>
    <col min="15" max="15" width="0.85546875" style="83" customWidth="1"/>
    <col min="16" max="16384" width="9.140625" style="83"/>
  </cols>
  <sheetData>
    <row r="1" spans="2:14" ht="7.15" customHeight="1" x14ac:dyDescent="0.2"/>
    <row r="2" spans="2:14" x14ac:dyDescent="0.2">
      <c r="B2" s="96" t="s">
        <v>0</v>
      </c>
      <c r="C2" s="85"/>
      <c r="D2" s="85"/>
      <c r="K2" s="99"/>
      <c r="N2" s="114"/>
    </row>
    <row r="3" spans="2:14" x14ac:dyDescent="0.2">
      <c r="B3" s="96" t="s">
        <v>1</v>
      </c>
      <c r="C3" s="85"/>
      <c r="J3" s="113"/>
      <c r="K3" s="85"/>
      <c r="N3" s="112"/>
    </row>
    <row r="4" spans="2:14" x14ac:dyDescent="0.2">
      <c r="B4" s="111" t="s">
        <v>2</v>
      </c>
      <c r="G4" s="95" t="s">
        <v>222</v>
      </c>
    </row>
    <row r="5" spans="2:14" x14ac:dyDescent="0.2">
      <c r="G5" s="85"/>
    </row>
    <row r="6" spans="2:14" ht="3.4" customHeight="1" x14ac:dyDescent="0.2"/>
    <row r="7" spans="2:14" ht="18" customHeight="1" x14ac:dyDescent="0.2">
      <c r="F7" s="110" t="s">
        <v>229</v>
      </c>
      <c r="G7" s="85"/>
      <c r="H7" s="85"/>
    </row>
    <row r="8" spans="2:14" ht="3.4" customHeight="1" x14ac:dyDescent="0.2"/>
    <row r="9" spans="2:14" ht="14.1" customHeight="1" x14ac:dyDescent="0.2">
      <c r="F9" s="109"/>
      <c r="G9" s="85"/>
      <c r="H9" s="85"/>
    </row>
    <row r="10" spans="2:14" ht="7.15" customHeight="1" x14ac:dyDescent="0.2"/>
  </sheetData>
  <mergeCells count="6">
    <mergeCell ref="B2:D2"/>
    <mergeCell ref="B3:C3"/>
    <mergeCell ref="J3:K3"/>
    <mergeCell ref="G4:G5"/>
    <mergeCell ref="F7:H7"/>
    <mergeCell ref="F9:H9"/>
  </mergeCells>
  <pageMargins left="0" right="0" top="0" bottom="0.39375000000000004" header="0" footer="0"/>
  <pageSetup paperSize="9" orientation="landscape" horizontalDpi="0" verticalDpi="0"/>
  <headerFooter alignWithMargins="0">
    <oddFooter xml:space="preserve">&amp;L&amp;"Arial"&amp;8 Lista: LCW147TREW &amp;C&amp;"Arial"&amp;8 Stranica 
&amp;B&amp;P&amp;B &amp;R&amp;"Arial"&amp;8 * OBRADA LC * 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0"/>
  <sheetViews>
    <sheetView showGridLines="0" workbookViewId="0">
      <pane ySplit="1" topLeftCell="A2" activePane="bottomLeft" state="frozenSplit"/>
      <selection pane="bottomLeft" activeCell="E35" sqref="E35"/>
    </sheetView>
  </sheetViews>
  <sheetFormatPr defaultRowHeight="12.75" x14ac:dyDescent="0.2"/>
  <cols>
    <col min="1" max="1" width="1.28515625" style="83" customWidth="1"/>
    <col min="2" max="2" width="32.28515625" style="83" customWidth="1"/>
    <col min="3" max="3" width="6.7109375" style="83" customWidth="1"/>
    <col min="4" max="4" width="14.7109375" style="83" customWidth="1"/>
    <col min="5" max="5" width="9.42578125" style="83" customWidth="1"/>
    <col min="6" max="6" width="1.28515625" style="83" customWidth="1"/>
    <col min="7" max="7" width="33.7109375" style="83" customWidth="1"/>
    <col min="8" max="8" width="1.28515625" style="83" customWidth="1"/>
    <col min="9" max="9" width="29.5703125" style="83" customWidth="1"/>
    <col min="10" max="10" width="5.28515625" style="83" customWidth="1"/>
    <col min="11" max="11" width="8.28515625" style="83" customWidth="1"/>
    <col min="12" max="12" width="0" style="83" hidden="1" customWidth="1"/>
    <col min="13" max="13" width="1.140625" style="83" customWidth="1"/>
    <col min="14" max="14" width="13.5703125" style="83" customWidth="1"/>
    <col min="15" max="15" width="0.85546875" style="83" customWidth="1"/>
    <col min="16" max="16384" width="9.140625" style="83"/>
  </cols>
  <sheetData>
    <row r="1" spans="2:14" ht="7.15" customHeight="1" x14ac:dyDescent="0.2"/>
    <row r="2" spans="2:14" x14ac:dyDescent="0.2">
      <c r="B2" s="96" t="s">
        <v>0</v>
      </c>
      <c r="C2" s="85"/>
      <c r="D2" s="85"/>
      <c r="K2" s="99"/>
      <c r="N2" s="114"/>
    </row>
    <row r="3" spans="2:14" x14ac:dyDescent="0.2">
      <c r="B3" s="96" t="s">
        <v>1</v>
      </c>
      <c r="C3" s="85"/>
      <c r="J3" s="113"/>
      <c r="K3" s="85"/>
      <c r="N3" s="112"/>
    </row>
    <row r="4" spans="2:14" x14ac:dyDescent="0.2">
      <c r="B4" s="111" t="s">
        <v>2</v>
      </c>
      <c r="G4" s="95" t="s">
        <v>222</v>
      </c>
    </row>
    <row r="5" spans="2:14" x14ac:dyDescent="0.2">
      <c r="G5" s="85"/>
    </row>
    <row r="6" spans="2:14" ht="3.4" customHeight="1" x14ac:dyDescent="0.2"/>
    <row r="7" spans="2:14" ht="18" customHeight="1" x14ac:dyDescent="0.2">
      <c r="F7" s="110" t="s">
        <v>229</v>
      </c>
      <c r="G7" s="85"/>
      <c r="H7" s="85"/>
    </row>
    <row r="8" spans="2:14" ht="3.4" customHeight="1" x14ac:dyDescent="0.2"/>
    <row r="9" spans="2:14" ht="14.1" customHeight="1" x14ac:dyDescent="0.2">
      <c r="F9" s="109"/>
      <c r="G9" s="85"/>
      <c r="H9" s="85"/>
    </row>
    <row r="10" spans="2:14" ht="7.15" customHeight="1" x14ac:dyDescent="0.2"/>
  </sheetData>
  <mergeCells count="6">
    <mergeCell ref="B2:D2"/>
    <mergeCell ref="B3:C3"/>
    <mergeCell ref="J3:K3"/>
    <mergeCell ref="G4:G5"/>
    <mergeCell ref="F7:H7"/>
    <mergeCell ref="F9:H9"/>
  </mergeCells>
  <pageMargins left="0" right="0" top="0" bottom="0.39375000000000004" header="0" footer="0"/>
  <pageSetup paperSize="9" orientation="landscape" horizontalDpi="0" verticalDpi="0"/>
  <headerFooter alignWithMargins="0">
    <oddFooter xml:space="preserve">&amp;L&amp;"Arial"&amp;8 Lista: LCW147TREW &amp;C&amp;"Arial"&amp;8 Stranica 
&amp;B&amp;P&amp;B &amp;R&amp;"Arial"&amp;8 * OBRADA LC * 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88"/>
  <sheetViews>
    <sheetView workbookViewId="0">
      <selection activeCell="D8" sqref="D8:J8"/>
    </sheetView>
  </sheetViews>
  <sheetFormatPr defaultRowHeight="12.75" x14ac:dyDescent="0.2"/>
  <cols>
    <col min="1" max="1" width="1.28515625" style="115" customWidth="1"/>
    <col min="2" max="2" width="11.5703125" style="115" customWidth="1"/>
    <col min="3" max="3" width="14.28515625" style="115" customWidth="1"/>
    <col min="4" max="4" width="13.7109375" style="115" customWidth="1"/>
    <col min="5" max="5" width="16.42578125" style="115" customWidth="1"/>
    <col min="6" max="6" width="18.5703125" style="115" customWidth="1"/>
    <col min="7" max="7" width="12.140625" style="115" customWidth="1"/>
    <col min="8" max="8" width="12" style="115" customWidth="1"/>
    <col min="9" max="9" width="10.140625" style="115" customWidth="1"/>
    <col min="10" max="10" width="0.140625" style="115" customWidth="1"/>
    <col min="11" max="11" width="1" style="115" customWidth="1"/>
    <col min="12" max="12" width="7" style="115" customWidth="1"/>
    <col min="13" max="13" width="0.85546875" style="115" customWidth="1"/>
    <col min="14" max="14" width="3.28515625" style="115" customWidth="1"/>
    <col min="15" max="15" width="10.28515625" style="115" customWidth="1"/>
    <col min="16" max="16" width="1" style="115" customWidth="1"/>
    <col min="17" max="17" width="12.42578125" style="115" customWidth="1"/>
  </cols>
  <sheetData>
    <row r="2" spans="2:17" x14ac:dyDescent="0.2">
      <c r="B2" s="116" t="s">
        <v>0</v>
      </c>
      <c r="C2" s="117"/>
      <c r="D2" s="117"/>
      <c r="E2" s="117"/>
      <c r="F2" s="117"/>
    </row>
    <row r="3" spans="2:17" x14ac:dyDescent="0.2">
      <c r="B3" s="117"/>
      <c r="C3" s="117"/>
      <c r="D3" s="117"/>
      <c r="E3" s="117"/>
      <c r="F3" s="117"/>
      <c r="J3" s="118"/>
      <c r="K3" s="117"/>
      <c r="L3" s="117"/>
      <c r="N3" s="119"/>
      <c r="O3" s="117"/>
    </row>
    <row r="4" spans="2:17" x14ac:dyDescent="0.2">
      <c r="B4" s="116" t="s">
        <v>1</v>
      </c>
      <c r="C4" s="117"/>
      <c r="D4" s="117"/>
      <c r="E4" s="117"/>
      <c r="J4" s="117"/>
      <c r="K4" s="117"/>
      <c r="L4" s="117"/>
      <c r="N4" s="117"/>
      <c r="O4" s="117"/>
    </row>
    <row r="5" spans="2:17" x14ac:dyDescent="0.2">
      <c r="B5" s="117"/>
      <c r="C5" s="117"/>
      <c r="D5" s="117"/>
      <c r="E5" s="117"/>
    </row>
    <row r="6" spans="2:17" x14ac:dyDescent="0.2">
      <c r="B6" s="116" t="s">
        <v>2</v>
      </c>
      <c r="C6" s="117"/>
      <c r="D6" s="117"/>
    </row>
    <row r="8" spans="2:17" ht="24" customHeight="1" x14ac:dyDescent="0.2">
      <c r="D8" s="120" t="s">
        <v>276</v>
      </c>
      <c r="E8" s="117"/>
      <c r="F8" s="117"/>
      <c r="G8" s="117"/>
      <c r="H8" s="117"/>
      <c r="I8" s="117"/>
      <c r="J8" s="117"/>
    </row>
    <row r="9" spans="2:17" ht="13.5" thickBot="1" x14ac:dyDescent="0.25"/>
    <row r="10" spans="2:17" ht="52.5" thickTop="1" thickBot="1" x14ac:dyDescent="0.25">
      <c r="B10" s="121" t="s">
        <v>3</v>
      </c>
      <c r="C10" s="122"/>
      <c r="D10" s="122"/>
      <c r="E10" s="122"/>
      <c r="F10" s="122"/>
      <c r="G10" s="123" t="s">
        <v>4</v>
      </c>
      <c r="H10" s="124" t="s">
        <v>230</v>
      </c>
      <c r="I10" s="121" t="s">
        <v>231</v>
      </c>
      <c r="J10" s="122"/>
      <c r="K10" s="122"/>
      <c r="L10" s="121" t="s">
        <v>5</v>
      </c>
      <c r="M10" s="122"/>
      <c r="N10" s="122"/>
      <c r="O10" s="121" t="s">
        <v>6</v>
      </c>
      <c r="P10" s="122"/>
      <c r="Q10" s="125" t="s">
        <v>27</v>
      </c>
    </row>
    <row r="11" spans="2:17" ht="14.25" thickTop="1" thickBot="1" x14ac:dyDescent="0.25">
      <c r="B11" s="124" t="s">
        <v>7</v>
      </c>
      <c r="C11" s="126" t="s">
        <v>8</v>
      </c>
      <c r="D11" s="127"/>
      <c r="E11" s="127"/>
      <c r="F11" s="127"/>
      <c r="G11" s="124" t="s">
        <v>9</v>
      </c>
      <c r="H11" s="124" t="s">
        <v>10</v>
      </c>
      <c r="I11" s="121" t="s">
        <v>11</v>
      </c>
      <c r="J11" s="122"/>
      <c r="K11" s="122"/>
      <c r="L11" s="121" t="s">
        <v>12</v>
      </c>
      <c r="M11" s="122"/>
      <c r="N11" s="122"/>
      <c r="O11" s="121" t="s">
        <v>13</v>
      </c>
      <c r="P11" s="122"/>
      <c r="Q11" s="128"/>
    </row>
    <row r="12" spans="2:17" ht="13.5" thickTop="1" x14ac:dyDescent="0.2">
      <c r="B12" s="129"/>
      <c r="C12" s="130" t="s">
        <v>19</v>
      </c>
      <c r="D12" s="117"/>
      <c r="E12" s="117"/>
      <c r="F12" s="117"/>
      <c r="G12" s="131">
        <v>1540220</v>
      </c>
      <c r="H12" s="131">
        <v>583939.94999999995</v>
      </c>
      <c r="I12" s="132">
        <v>0</v>
      </c>
      <c r="J12" s="117"/>
      <c r="K12" s="117"/>
      <c r="L12" s="132">
        <v>583939.94999999995</v>
      </c>
      <c r="M12" s="117"/>
      <c r="N12" s="117"/>
      <c r="O12" s="132">
        <v>956280.05</v>
      </c>
      <c r="P12" s="117"/>
      <c r="Q12" s="133">
        <f>(H12/G12)*100</f>
        <v>37.912762462505356</v>
      </c>
    </row>
    <row r="13" spans="2:17" x14ac:dyDescent="0.2">
      <c r="B13" s="134" t="s">
        <v>232</v>
      </c>
      <c r="C13" s="135" t="s">
        <v>233</v>
      </c>
      <c r="D13" s="117"/>
      <c r="E13" s="117"/>
      <c r="F13" s="117"/>
      <c r="G13" s="136">
        <v>1540220</v>
      </c>
      <c r="H13" s="136">
        <v>583939.94999999995</v>
      </c>
      <c r="I13" s="137">
        <v>0</v>
      </c>
      <c r="J13" s="117"/>
      <c r="K13" s="117"/>
      <c r="L13" s="137">
        <v>583939.94999999995</v>
      </c>
      <c r="M13" s="117"/>
      <c r="N13" s="117"/>
      <c r="O13" s="137">
        <v>956280.05</v>
      </c>
      <c r="P13" s="117"/>
      <c r="Q13" s="138">
        <f t="shared" ref="Q13:Q76" si="0">(H13/G13)*100</f>
        <v>37.912762462505356</v>
      </c>
    </row>
    <row r="14" spans="2:17" ht="22.5" x14ac:dyDescent="0.2">
      <c r="B14" s="139" t="s">
        <v>234</v>
      </c>
      <c r="C14" s="140" t="s">
        <v>235</v>
      </c>
      <c r="D14" s="117"/>
      <c r="E14" s="117"/>
      <c r="F14" s="117"/>
      <c r="G14" s="141">
        <v>1540220</v>
      </c>
      <c r="H14" s="141">
        <v>583939.94999999995</v>
      </c>
      <c r="I14" s="142">
        <v>0</v>
      </c>
      <c r="J14" s="117"/>
      <c r="K14" s="117"/>
      <c r="L14" s="142">
        <v>583939.94999999995</v>
      </c>
      <c r="M14" s="117"/>
      <c r="N14" s="117"/>
      <c r="O14" s="142">
        <v>956280.05</v>
      </c>
      <c r="P14" s="117"/>
      <c r="Q14" s="138">
        <f t="shared" si="0"/>
        <v>37.912762462505356</v>
      </c>
    </row>
    <row r="15" spans="2:17" ht="33.75" x14ac:dyDescent="0.2">
      <c r="B15" s="143" t="s">
        <v>236</v>
      </c>
      <c r="C15" s="144" t="s">
        <v>0</v>
      </c>
      <c r="D15" s="117"/>
      <c r="E15" s="117"/>
      <c r="F15" s="117"/>
      <c r="G15" s="145">
        <v>1540220</v>
      </c>
      <c r="H15" s="145">
        <v>583939.94999999995</v>
      </c>
      <c r="I15" s="146">
        <v>0</v>
      </c>
      <c r="J15" s="117"/>
      <c r="K15" s="117"/>
      <c r="L15" s="146">
        <v>583939.94999999995</v>
      </c>
      <c r="M15" s="117"/>
      <c r="N15" s="117"/>
      <c r="O15" s="146">
        <v>956280.05</v>
      </c>
      <c r="P15" s="117"/>
      <c r="Q15" s="138">
        <f t="shared" si="0"/>
        <v>37.912762462505356</v>
      </c>
    </row>
    <row r="16" spans="2:17" x14ac:dyDescent="0.2">
      <c r="B16" s="147" t="s">
        <v>237</v>
      </c>
      <c r="C16" s="148" t="s">
        <v>238</v>
      </c>
      <c r="D16" s="117"/>
      <c r="E16" s="117"/>
      <c r="F16" s="117"/>
      <c r="G16" s="149">
        <v>384520</v>
      </c>
      <c r="H16" s="149">
        <v>48771.96</v>
      </c>
      <c r="I16" s="150">
        <v>0</v>
      </c>
      <c r="J16" s="117"/>
      <c r="K16" s="117"/>
      <c r="L16" s="150">
        <v>48771.96</v>
      </c>
      <c r="M16" s="117"/>
      <c r="N16" s="117"/>
      <c r="O16" s="150">
        <v>335748.04</v>
      </c>
      <c r="P16" s="117"/>
      <c r="Q16" s="151">
        <f t="shared" si="0"/>
        <v>12.683855196088631</v>
      </c>
    </row>
    <row r="17" spans="2:17" x14ac:dyDescent="0.2">
      <c r="B17" s="152" t="s">
        <v>239</v>
      </c>
      <c r="C17" s="153" t="s">
        <v>238</v>
      </c>
      <c r="D17" s="117"/>
      <c r="E17" s="117"/>
      <c r="F17" s="117"/>
      <c r="G17" s="154">
        <v>309490</v>
      </c>
      <c r="H17" s="154">
        <v>10439.08</v>
      </c>
      <c r="I17" s="155">
        <v>0</v>
      </c>
      <c r="J17" s="117"/>
      <c r="K17" s="117"/>
      <c r="L17" s="155">
        <v>10439.08</v>
      </c>
      <c r="M17" s="117"/>
      <c r="N17" s="117"/>
      <c r="O17" s="155">
        <v>299050.92</v>
      </c>
      <c r="P17" s="117"/>
      <c r="Q17" s="151">
        <f t="shared" si="0"/>
        <v>3.372994280913761</v>
      </c>
    </row>
    <row r="18" spans="2:17" x14ac:dyDescent="0.2">
      <c r="B18" s="156" t="s">
        <v>240</v>
      </c>
      <c r="C18" s="157" t="s">
        <v>241</v>
      </c>
      <c r="D18" s="117"/>
      <c r="E18" s="117"/>
      <c r="F18" s="117"/>
      <c r="G18" s="158">
        <v>309490</v>
      </c>
      <c r="H18" s="158">
        <v>10439.08</v>
      </c>
      <c r="I18" s="159">
        <v>0</v>
      </c>
      <c r="J18" s="117"/>
      <c r="K18" s="117"/>
      <c r="L18" s="159">
        <v>10439.08</v>
      </c>
      <c r="M18" s="117"/>
      <c r="N18" s="117"/>
      <c r="O18" s="159">
        <v>299050.92</v>
      </c>
      <c r="P18" s="117"/>
      <c r="Q18" s="138">
        <f t="shared" si="0"/>
        <v>3.372994280913761</v>
      </c>
    </row>
    <row r="19" spans="2:17" ht="22.5" x14ac:dyDescent="0.2">
      <c r="B19" s="160" t="s">
        <v>242</v>
      </c>
      <c r="C19" s="161" t="s">
        <v>243</v>
      </c>
      <c r="D19" s="117"/>
      <c r="E19" s="117"/>
      <c r="F19" s="117"/>
      <c r="G19" s="162">
        <v>6780</v>
      </c>
      <c r="H19" s="162">
        <v>2278.79</v>
      </c>
      <c r="I19" s="163">
        <v>0</v>
      </c>
      <c r="J19" s="117"/>
      <c r="K19" s="117"/>
      <c r="L19" s="163">
        <v>2278.79</v>
      </c>
      <c r="M19" s="117"/>
      <c r="N19" s="117"/>
      <c r="O19" s="163">
        <v>4501.21</v>
      </c>
      <c r="P19" s="117"/>
      <c r="Q19" s="138">
        <f t="shared" si="0"/>
        <v>33.610471976401179</v>
      </c>
    </row>
    <row r="20" spans="2:17" x14ac:dyDescent="0.2">
      <c r="B20" s="164" t="s">
        <v>183</v>
      </c>
      <c r="C20" s="165" t="s">
        <v>182</v>
      </c>
      <c r="D20" s="117"/>
      <c r="E20" s="117"/>
      <c r="F20" s="117"/>
      <c r="G20" s="166">
        <v>6780</v>
      </c>
      <c r="H20" s="166">
        <v>2278.79</v>
      </c>
      <c r="I20" s="167">
        <v>0</v>
      </c>
      <c r="J20" s="117"/>
      <c r="K20" s="117"/>
      <c r="L20" s="167">
        <v>2278.79</v>
      </c>
      <c r="M20" s="117"/>
      <c r="N20" s="117"/>
      <c r="O20" s="167">
        <v>4501.21</v>
      </c>
      <c r="P20" s="117"/>
      <c r="Q20" s="138">
        <f t="shared" si="0"/>
        <v>33.610471976401179</v>
      </c>
    </row>
    <row r="21" spans="2:17" x14ac:dyDescent="0.2">
      <c r="B21" s="164" t="s">
        <v>177</v>
      </c>
      <c r="C21" s="165" t="s">
        <v>176</v>
      </c>
      <c r="D21" s="117"/>
      <c r="E21" s="117"/>
      <c r="F21" s="117"/>
      <c r="G21" s="166">
        <v>1730</v>
      </c>
      <c r="H21" s="166">
        <v>0</v>
      </c>
      <c r="I21" s="167">
        <v>0</v>
      </c>
      <c r="J21" s="117"/>
      <c r="K21" s="117"/>
      <c r="L21" s="167">
        <v>0</v>
      </c>
      <c r="M21" s="117"/>
      <c r="N21" s="117"/>
      <c r="O21" s="167">
        <v>1730</v>
      </c>
      <c r="P21" s="117"/>
      <c r="Q21" s="138">
        <f t="shared" si="0"/>
        <v>0</v>
      </c>
    </row>
    <row r="22" spans="2:17" x14ac:dyDescent="0.2">
      <c r="B22" s="164" t="s">
        <v>165</v>
      </c>
      <c r="C22" s="165" t="s">
        <v>164</v>
      </c>
      <c r="D22" s="117"/>
      <c r="E22" s="117"/>
      <c r="F22" s="117"/>
      <c r="G22" s="166">
        <v>0</v>
      </c>
      <c r="H22" s="166">
        <v>0</v>
      </c>
      <c r="I22" s="167">
        <v>0</v>
      </c>
      <c r="J22" s="117"/>
      <c r="K22" s="117"/>
      <c r="L22" s="167">
        <v>0</v>
      </c>
      <c r="M22" s="117"/>
      <c r="N22" s="117"/>
      <c r="O22" s="167">
        <v>0</v>
      </c>
      <c r="P22" s="117"/>
      <c r="Q22" s="138"/>
    </row>
    <row r="23" spans="2:17" x14ac:dyDescent="0.2">
      <c r="B23" s="164" t="s">
        <v>145</v>
      </c>
      <c r="C23" s="165" t="s">
        <v>144</v>
      </c>
      <c r="D23" s="117"/>
      <c r="E23" s="117"/>
      <c r="F23" s="117"/>
      <c r="G23" s="166">
        <v>2790</v>
      </c>
      <c r="H23" s="166">
        <v>0</v>
      </c>
      <c r="I23" s="167">
        <v>0</v>
      </c>
      <c r="J23" s="117"/>
      <c r="K23" s="117"/>
      <c r="L23" s="167">
        <v>0</v>
      </c>
      <c r="M23" s="117"/>
      <c r="N23" s="117"/>
      <c r="O23" s="167">
        <v>2790</v>
      </c>
      <c r="P23" s="117"/>
      <c r="Q23" s="138">
        <f t="shared" si="0"/>
        <v>0</v>
      </c>
    </row>
    <row r="24" spans="2:17" x14ac:dyDescent="0.2">
      <c r="B24" s="164" t="s">
        <v>136</v>
      </c>
      <c r="C24" s="165" t="s">
        <v>135</v>
      </c>
      <c r="D24" s="117"/>
      <c r="E24" s="117"/>
      <c r="F24" s="117"/>
      <c r="G24" s="166">
        <v>2260</v>
      </c>
      <c r="H24" s="166">
        <v>2278.79</v>
      </c>
      <c r="I24" s="167">
        <v>0</v>
      </c>
      <c r="J24" s="117"/>
      <c r="K24" s="117"/>
      <c r="L24" s="167">
        <v>2278.79</v>
      </c>
      <c r="M24" s="117"/>
      <c r="N24" s="117"/>
      <c r="O24" s="167">
        <v>-18.79</v>
      </c>
      <c r="P24" s="117"/>
      <c r="Q24" s="138">
        <f t="shared" si="0"/>
        <v>100.83141592920353</v>
      </c>
    </row>
    <row r="25" spans="2:17" ht="22.5" x14ac:dyDescent="0.2">
      <c r="B25" s="160" t="s">
        <v>244</v>
      </c>
      <c r="C25" s="161" t="s">
        <v>245</v>
      </c>
      <c r="D25" s="117"/>
      <c r="E25" s="117"/>
      <c r="F25" s="117"/>
      <c r="G25" s="162">
        <v>6900</v>
      </c>
      <c r="H25" s="162">
        <v>460</v>
      </c>
      <c r="I25" s="163">
        <v>0</v>
      </c>
      <c r="J25" s="117"/>
      <c r="K25" s="117"/>
      <c r="L25" s="163">
        <v>460</v>
      </c>
      <c r="M25" s="117"/>
      <c r="N25" s="117"/>
      <c r="O25" s="163">
        <v>6440</v>
      </c>
      <c r="P25" s="117"/>
      <c r="Q25" s="138">
        <f t="shared" si="0"/>
        <v>6.666666666666667</v>
      </c>
    </row>
    <row r="26" spans="2:17" x14ac:dyDescent="0.2">
      <c r="B26" s="164" t="s">
        <v>183</v>
      </c>
      <c r="C26" s="165" t="s">
        <v>182</v>
      </c>
      <c r="D26" s="117"/>
      <c r="E26" s="117"/>
      <c r="F26" s="117"/>
      <c r="G26" s="166">
        <v>5110</v>
      </c>
      <c r="H26" s="166">
        <v>0</v>
      </c>
      <c r="I26" s="167">
        <v>0</v>
      </c>
      <c r="J26" s="117"/>
      <c r="K26" s="117"/>
      <c r="L26" s="167">
        <v>0</v>
      </c>
      <c r="M26" s="117"/>
      <c r="N26" s="117"/>
      <c r="O26" s="167">
        <v>5110</v>
      </c>
      <c r="P26" s="117"/>
      <c r="Q26" s="138">
        <f t="shared" si="0"/>
        <v>0</v>
      </c>
    </row>
    <row r="27" spans="2:17" x14ac:dyDescent="0.2">
      <c r="B27" s="164" t="s">
        <v>124</v>
      </c>
      <c r="C27" s="165" t="s">
        <v>123</v>
      </c>
      <c r="D27" s="117"/>
      <c r="E27" s="117"/>
      <c r="F27" s="117"/>
      <c r="G27" s="166">
        <v>5110</v>
      </c>
      <c r="H27" s="166">
        <v>0</v>
      </c>
      <c r="I27" s="167">
        <v>0</v>
      </c>
      <c r="J27" s="117"/>
      <c r="K27" s="117"/>
      <c r="L27" s="167">
        <v>0</v>
      </c>
      <c r="M27" s="117"/>
      <c r="N27" s="117"/>
      <c r="O27" s="167">
        <v>5110</v>
      </c>
      <c r="P27" s="117"/>
      <c r="Q27" s="138">
        <f t="shared" si="0"/>
        <v>0</v>
      </c>
    </row>
    <row r="28" spans="2:17" x14ac:dyDescent="0.2">
      <c r="B28" s="164" t="s">
        <v>112</v>
      </c>
      <c r="C28" s="165" t="s">
        <v>111</v>
      </c>
      <c r="D28" s="117"/>
      <c r="E28" s="117"/>
      <c r="F28" s="117"/>
      <c r="G28" s="166">
        <v>1790</v>
      </c>
      <c r="H28" s="166">
        <v>460</v>
      </c>
      <c r="I28" s="167">
        <v>0</v>
      </c>
      <c r="J28" s="117"/>
      <c r="K28" s="117"/>
      <c r="L28" s="167">
        <v>460</v>
      </c>
      <c r="M28" s="117"/>
      <c r="N28" s="117"/>
      <c r="O28" s="167">
        <v>1330</v>
      </c>
      <c r="P28" s="117"/>
      <c r="Q28" s="138">
        <f t="shared" si="0"/>
        <v>25.69832402234637</v>
      </c>
    </row>
    <row r="29" spans="2:17" x14ac:dyDescent="0.2">
      <c r="B29" s="164" t="s">
        <v>108</v>
      </c>
      <c r="C29" s="165" t="s">
        <v>107</v>
      </c>
      <c r="D29" s="117"/>
      <c r="E29" s="117"/>
      <c r="F29" s="117"/>
      <c r="G29" s="166">
        <v>1790</v>
      </c>
      <c r="H29" s="166">
        <v>460</v>
      </c>
      <c r="I29" s="167">
        <v>0</v>
      </c>
      <c r="J29" s="117"/>
      <c r="K29" s="117"/>
      <c r="L29" s="167">
        <v>460</v>
      </c>
      <c r="M29" s="117"/>
      <c r="N29" s="117"/>
      <c r="O29" s="167">
        <v>1330</v>
      </c>
      <c r="P29" s="117"/>
      <c r="Q29" s="138">
        <f t="shared" si="0"/>
        <v>25.69832402234637</v>
      </c>
    </row>
    <row r="30" spans="2:17" ht="22.5" x14ac:dyDescent="0.2">
      <c r="B30" s="160" t="s">
        <v>246</v>
      </c>
      <c r="C30" s="161" t="s">
        <v>247</v>
      </c>
      <c r="D30" s="117"/>
      <c r="E30" s="117"/>
      <c r="F30" s="117"/>
      <c r="G30" s="162">
        <v>47450</v>
      </c>
      <c r="H30" s="162">
        <v>0</v>
      </c>
      <c r="I30" s="163">
        <v>0</v>
      </c>
      <c r="J30" s="117"/>
      <c r="K30" s="117"/>
      <c r="L30" s="163">
        <v>0</v>
      </c>
      <c r="M30" s="117"/>
      <c r="N30" s="117"/>
      <c r="O30" s="163">
        <v>47450</v>
      </c>
      <c r="P30" s="117"/>
      <c r="Q30" s="138">
        <f t="shared" si="0"/>
        <v>0</v>
      </c>
    </row>
    <row r="31" spans="2:17" x14ac:dyDescent="0.2">
      <c r="B31" s="164" t="s">
        <v>112</v>
      </c>
      <c r="C31" s="165" t="s">
        <v>111</v>
      </c>
      <c r="D31" s="117"/>
      <c r="E31" s="117"/>
      <c r="F31" s="117"/>
      <c r="G31" s="166">
        <v>0</v>
      </c>
      <c r="H31" s="166">
        <v>0</v>
      </c>
      <c r="I31" s="167">
        <v>0</v>
      </c>
      <c r="J31" s="117"/>
      <c r="K31" s="117"/>
      <c r="L31" s="167">
        <v>0</v>
      </c>
      <c r="M31" s="117"/>
      <c r="N31" s="117"/>
      <c r="O31" s="167">
        <v>0</v>
      </c>
      <c r="P31" s="117"/>
      <c r="Q31" s="138"/>
    </row>
    <row r="32" spans="2:17" x14ac:dyDescent="0.2">
      <c r="B32" s="164" t="s">
        <v>106</v>
      </c>
      <c r="C32" s="165" t="s">
        <v>105</v>
      </c>
      <c r="D32" s="117"/>
      <c r="E32" s="117"/>
      <c r="F32" s="117"/>
      <c r="G32" s="166">
        <v>0</v>
      </c>
      <c r="H32" s="166">
        <v>0</v>
      </c>
      <c r="I32" s="167">
        <v>0</v>
      </c>
      <c r="J32" s="117"/>
      <c r="K32" s="117"/>
      <c r="L32" s="167">
        <v>0</v>
      </c>
      <c r="M32" s="117"/>
      <c r="N32" s="117"/>
      <c r="O32" s="167">
        <v>0</v>
      </c>
      <c r="P32" s="117"/>
      <c r="Q32" s="138"/>
    </row>
    <row r="33" spans="2:17" x14ac:dyDescent="0.2">
      <c r="B33" s="164" t="s">
        <v>93</v>
      </c>
      <c r="C33" s="165" t="s">
        <v>92</v>
      </c>
      <c r="D33" s="117"/>
      <c r="E33" s="117"/>
      <c r="F33" s="117"/>
      <c r="G33" s="166">
        <v>47450</v>
      </c>
      <c r="H33" s="166">
        <v>0</v>
      </c>
      <c r="I33" s="167">
        <v>0</v>
      </c>
      <c r="J33" s="117"/>
      <c r="K33" s="117"/>
      <c r="L33" s="167">
        <v>0</v>
      </c>
      <c r="M33" s="117"/>
      <c r="N33" s="117"/>
      <c r="O33" s="167">
        <v>47450</v>
      </c>
      <c r="P33" s="117"/>
      <c r="Q33" s="138">
        <f t="shared" si="0"/>
        <v>0</v>
      </c>
    </row>
    <row r="34" spans="2:17" x14ac:dyDescent="0.2">
      <c r="B34" s="164" t="s">
        <v>75</v>
      </c>
      <c r="C34" s="165" t="s">
        <v>74</v>
      </c>
      <c r="D34" s="117"/>
      <c r="E34" s="117"/>
      <c r="F34" s="117"/>
      <c r="G34" s="166">
        <v>47450</v>
      </c>
      <c r="H34" s="166">
        <v>0</v>
      </c>
      <c r="I34" s="167">
        <v>0</v>
      </c>
      <c r="J34" s="117"/>
      <c r="K34" s="117"/>
      <c r="L34" s="167">
        <v>0</v>
      </c>
      <c r="M34" s="117"/>
      <c r="N34" s="117"/>
      <c r="O34" s="167">
        <v>47450</v>
      </c>
      <c r="P34" s="117"/>
      <c r="Q34" s="138">
        <f t="shared" si="0"/>
        <v>0</v>
      </c>
    </row>
    <row r="35" spans="2:17" ht="22.5" x14ac:dyDescent="0.2">
      <c r="B35" s="160" t="s">
        <v>248</v>
      </c>
      <c r="C35" s="161" t="s">
        <v>249</v>
      </c>
      <c r="D35" s="117"/>
      <c r="E35" s="117"/>
      <c r="F35" s="117"/>
      <c r="G35" s="162">
        <v>4640</v>
      </c>
      <c r="H35" s="162">
        <v>3022.01</v>
      </c>
      <c r="I35" s="163">
        <v>0</v>
      </c>
      <c r="J35" s="117"/>
      <c r="K35" s="117"/>
      <c r="L35" s="163">
        <v>3022.01</v>
      </c>
      <c r="M35" s="117"/>
      <c r="N35" s="117"/>
      <c r="O35" s="163">
        <v>1617.99</v>
      </c>
      <c r="P35" s="117"/>
      <c r="Q35" s="138">
        <f t="shared" si="0"/>
        <v>65.129525862068974</v>
      </c>
    </row>
    <row r="36" spans="2:17" x14ac:dyDescent="0.2">
      <c r="B36" s="164" t="s">
        <v>201</v>
      </c>
      <c r="C36" s="165" t="s">
        <v>200</v>
      </c>
      <c r="D36" s="117"/>
      <c r="E36" s="117"/>
      <c r="F36" s="117"/>
      <c r="G36" s="166">
        <v>3170</v>
      </c>
      <c r="H36" s="166">
        <v>2390.66</v>
      </c>
      <c r="I36" s="167">
        <v>0</v>
      </c>
      <c r="J36" s="117"/>
      <c r="K36" s="117"/>
      <c r="L36" s="167">
        <v>2390.66</v>
      </c>
      <c r="M36" s="117"/>
      <c r="N36" s="117"/>
      <c r="O36" s="167">
        <v>779.34</v>
      </c>
      <c r="P36" s="117"/>
      <c r="Q36" s="138">
        <f t="shared" si="0"/>
        <v>75.415141955835963</v>
      </c>
    </row>
    <row r="37" spans="2:17" x14ac:dyDescent="0.2">
      <c r="B37" s="164" t="s">
        <v>197</v>
      </c>
      <c r="C37" s="165" t="s">
        <v>196</v>
      </c>
      <c r="D37" s="117"/>
      <c r="E37" s="117"/>
      <c r="F37" s="117"/>
      <c r="G37" s="166">
        <v>2720</v>
      </c>
      <c r="H37" s="166">
        <v>2052.09</v>
      </c>
      <c r="I37" s="167">
        <v>0</v>
      </c>
      <c r="J37" s="117"/>
      <c r="K37" s="117"/>
      <c r="L37" s="167">
        <v>2052.09</v>
      </c>
      <c r="M37" s="117"/>
      <c r="N37" s="117"/>
      <c r="O37" s="167">
        <v>667.91</v>
      </c>
      <c r="P37" s="117"/>
      <c r="Q37" s="138">
        <f t="shared" si="0"/>
        <v>75.444485294117641</v>
      </c>
    </row>
    <row r="38" spans="2:17" x14ac:dyDescent="0.2">
      <c r="B38" s="164" t="s">
        <v>186</v>
      </c>
      <c r="C38" s="165" t="s">
        <v>185</v>
      </c>
      <c r="D38" s="117"/>
      <c r="E38" s="117"/>
      <c r="F38" s="117"/>
      <c r="G38" s="166">
        <v>450</v>
      </c>
      <c r="H38" s="166">
        <v>338.57</v>
      </c>
      <c r="I38" s="167">
        <v>0</v>
      </c>
      <c r="J38" s="117"/>
      <c r="K38" s="117"/>
      <c r="L38" s="167">
        <v>338.57</v>
      </c>
      <c r="M38" s="117"/>
      <c r="N38" s="117"/>
      <c r="O38" s="167">
        <v>111.43</v>
      </c>
      <c r="P38" s="117"/>
      <c r="Q38" s="138">
        <f t="shared" si="0"/>
        <v>75.237777777777779</v>
      </c>
    </row>
    <row r="39" spans="2:17" x14ac:dyDescent="0.2">
      <c r="B39" s="164" t="s">
        <v>183</v>
      </c>
      <c r="C39" s="165" t="s">
        <v>182</v>
      </c>
      <c r="D39" s="117"/>
      <c r="E39" s="117"/>
      <c r="F39" s="117"/>
      <c r="G39" s="166">
        <v>1470</v>
      </c>
      <c r="H39" s="166">
        <v>631.35</v>
      </c>
      <c r="I39" s="167">
        <v>0</v>
      </c>
      <c r="J39" s="117"/>
      <c r="K39" s="117"/>
      <c r="L39" s="167">
        <v>631.35</v>
      </c>
      <c r="M39" s="117"/>
      <c r="N39" s="117"/>
      <c r="O39" s="167">
        <v>838.65</v>
      </c>
      <c r="P39" s="117"/>
      <c r="Q39" s="138">
        <f t="shared" si="0"/>
        <v>42.948979591836739</v>
      </c>
    </row>
    <row r="40" spans="2:17" x14ac:dyDescent="0.2">
      <c r="B40" s="164" t="s">
        <v>169</v>
      </c>
      <c r="C40" s="165" t="s">
        <v>168</v>
      </c>
      <c r="D40" s="117"/>
      <c r="E40" s="117"/>
      <c r="F40" s="117"/>
      <c r="G40" s="166">
        <v>1470</v>
      </c>
      <c r="H40" s="166">
        <v>0</v>
      </c>
      <c r="I40" s="167">
        <v>0</v>
      </c>
      <c r="J40" s="117"/>
      <c r="K40" s="117"/>
      <c r="L40" s="167">
        <v>0</v>
      </c>
      <c r="M40" s="117"/>
      <c r="N40" s="117"/>
      <c r="O40" s="167">
        <v>1470</v>
      </c>
      <c r="P40" s="117"/>
      <c r="Q40" s="138">
        <f t="shared" si="0"/>
        <v>0</v>
      </c>
    </row>
    <row r="41" spans="2:17" x14ac:dyDescent="0.2">
      <c r="B41" s="164" t="s">
        <v>143</v>
      </c>
      <c r="C41" s="165" t="s">
        <v>142</v>
      </c>
      <c r="D41" s="117"/>
      <c r="E41" s="117"/>
      <c r="F41" s="117"/>
      <c r="G41" s="166">
        <v>0</v>
      </c>
      <c r="H41" s="166">
        <v>317.19</v>
      </c>
      <c r="I41" s="167">
        <v>0</v>
      </c>
      <c r="J41" s="117"/>
      <c r="K41" s="117"/>
      <c r="L41" s="167">
        <v>317.19</v>
      </c>
      <c r="M41" s="117"/>
      <c r="N41" s="117"/>
      <c r="O41" s="167">
        <v>-317.19</v>
      </c>
      <c r="P41" s="117"/>
      <c r="Q41" s="138"/>
    </row>
    <row r="42" spans="2:17" x14ac:dyDescent="0.2">
      <c r="B42" s="164" t="s">
        <v>132</v>
      </c>
      <c r="C42" s="165" t="s">
        <v>131</v>
      </c>
      <c r="D42" s="117"/>
      <c r="E42" s="117"/>
      <c r="F42" s="117"/>
      <c r="G42" s="166">
        <v>0</v>
      </c>
      <c r="H42" s="166">
        <v>271.58999999999997</v>
      </c>
      <c r="I42" s="167">
        <v>0</v>
      </c>
      <c r="J42" s="117"/>
      <c r="K42" s="117"/>
      <c r="L42" s="167">
        <v>271.58999999999997</v>
      </c>
      <c r="M42" s="117"/>
      <c r="N42" s="117"/>
      <c r="O42" s="167">
        <v>-271.58999999999997</v>
      </c>
      <c r="P42" s="117"/>
      <c r="Q42" s="138"/>
    </row>
    <row r="43" spans="2:17" x14ac:dyDescent="0.2">
      <c r="B43" s="164" t="s">
        <v>124</v>
      </c>
      <c r="C43" s="165" t="s">
        <v>123</v>
      </c>
      <c r="D43" s="117"/>
      <c r="E43" s="117"/>
      <c r="F43" s="117"/>
      <c r="G43" s="166">
        <v>0</v>
      </c>
      <c r="H43" s="166">
        <v>42.57</v>
      </c>
      <c r="I43" s="167">
        <v>0</v>
      </c>
      <c r="J43" s="117"/>
      <c r="K43" s="117"/>
      <c r="L43" s="167">
        <v>42.57</v>
      </c>
      <c r="M43" s="117"/>
      <c r="N43" s="117"/>
      <c r="O43" s="167">
        <v>-42.57</v>
      </c>
      <c r="P43" s="117"/>
      <c r="Q43" s="138"/>
    </row>
    <row r="44" spans="2:17" ht="22.5" x14ac:dyDescent="0.2">
      <c r="B44" s="160" t="s">
        <v>250</v>
      </c>
      <c r="C44" s="168" t="s">
        <v>251</v>
      </c>
      <c r="D44" s="169"/>
      <c r="E44" s="169"/>
      <c r="F44" s="169"/>
      <c r="G44" s="162">
        <v>242790</v>
      </c>
      <c r="H44" s="162">
        <v>3772.38</v>
      </c>
      <c r="I44" s="163">
        <v>0</v>
      </c>
      <c r="J44" s="117"/>
      <c r="K44" s="117"/>
      <c r="L44" s="163">
        <v>3772.38</v>
      </c>
      <c r="M44" s="117"/>
      <c r="N44" s="117"/>
      <c r="O44" s="163">
        <v>239017.62</v>
      </c>
      <c r="P44" s="117"/>
      <c r="Q44" s="138">
        <f t="shared" si="0"/>
        <v>1.5537625108118127</v>
      </c>
    </row>
    <row r="45" spans="2:17" x14ac:dyDescent="0.2">
      <c r="B45" s="164" t="s">
        <v>183</v>
      </c>
      <c r="C45" s="165" t="s">
        <v>182</v>
      </c>
      <c r="D45" s="117"/>
      <c r="E45" s="117"/>
      <c r="F45" s="117"/>
      <c r="G45" s="166">
        <v>2390</v>
      </c>
      <c r="H45" s="166">
        <v>3772.38</v>
      </c>
      <c r="I45" s="167">
        <v>0</v>
      </c>
      <c r="J45" s="117"/>
      <c r="K45" s="117"/>
      <c r="L45" s="167">
        <v>3772.38</v>
      </c>
      <c r="M45" s="117"/>
      <c r="N45" s="117"/>
      <c r="O45" s="167">
        <v>-1382.38</v>
      </c>
      <c r="P45" s="117"/>
      <c r="Q45" s="138">
        <f t="shared" si="0"/>
        <v>157.84016736401674</v>
      </c>
    </row>
    <row r="46" spans="2:17" x14ac:dyDescent="0.2">
      <c r="B46" s="164" t="s">
        <v>153</v>
      </c>
      <c r="C46" s="165" t="s">
        <v>152</v>
      </c>
      <c r="D46" s="117"/>
      <c r="E46" s="117"/>
      <c r="F46" s="117"/>
      <c r="G46" s="166">
        <v>2390</v>
      </c>
      <c r="H46" s="166">
        <v>3772.38</v>
      </c>
      <c r="I46" s="167">
        <v>0</v>
      </c>
      <c r="J46" s="117"/>
      <c r="K46" s="117"/>
      <c r="L46" s="167">
        <v>3772.38</v>
      </c>
      <c r="M46" s="117"/>
      <c r="N46" s="117"/>
      <c r="O46" s="167">
        <v>-1382.38</v>
      </c>
      <c r="P46" s="117"/>
      <c r="Q46" s="138">
        <f t="shared" si="0"/>
        <v>157.84016736401674</v>
      </c>
    </row>
    <row r="47" spans="2:17" x14ac:dyDescent="0.2">
      <c r="B47" s="164" t="s">
        <v>99</v>
      </c>
      <c r="C47" s="165" t="s">
        <v>98</v>
      </c>
      <c r="D47" s="117"/>
      <c r="E47" s="117"/>
      <c r="F47" s="117"/>
      <c r="G47" s="166">
        <v>0</v>
      </c>
      <c r="H47" s="166">
        <v>0</v>
      </c>
      <c r="I47" s="167">
        <v>0</v>
      </c>
      <c r="J47" s="117"/>
      <c r="K47" s="117"/>
      <c r="L47" s="167">
        <v>0</v>
      </c>
      <c r="M47" s="117"/>
      <c r="N47" s="117"/>
      <c r="O47" s="167">
        <v>0</v>
      </c>
      <c r="P47" s="117"/>
      <c r="Q47" s="138"/>
    </row>
    <row r="48" spans="2:17" x14ac:dyDescent="0.2">
      <c r="B48" s="164" t="s">
        <v>95</v>
      </c>
      <c r="C48" s="165" t="s">
        <v>94</v>
      </c>
      <c r="D48" s="117"/>
      <c r="E48" s="117"/>
      <c r="F48" s="117"/>
      <c r="G48" s="166">
        <v>0</v>
      </c>
      <c r="H48" s="166">
        <v>0</v>
      </c>
      <c r="I48" s="167">
        <v>0</v>
      </c>
      <c r="J48" s="117"/>
      <c r="K48" s="117"/>
      <c r="L48" s="167">
        <v>0</v>
      </c>
      <c r="M48" s="117"/>
      <c r="N48" s="117"/>
      <c r="O48" s="167">
        <v>0</v>
      </c>
      <c r="P48" s="117"/>
      <c r="Q48" s="138"/>
    </row>
    <row r="49" spans="2:17" x14ac:dyDescent="0.2">
      <c r="B49" s="164" t="s">
        <v>93</v>
      </c>
      <c r="C49" s="165" t="s">
        <v>92</v>
      </c>
      <c r="D49" s="117"/>
      <c r="E49" s="117"/>
      <c r="F49" s="117"/>
      <c r="G49" s="166">
        <v>240400</v>
      </c>
      <c r="H49" s="166">
        <v>0</v>
      </c>
      <c r="I49" s="167">
        <v>0</v>
      </c>
      <c r="J49" s="117"/>
      <c r="K49" s="117"/>
      <c r="L49" s="167">
        <v>0</v>
      </c>
      <c r="M49" s="117"/>
      <c r="N49" s="117"/>
      <c r="O49" s="167">
        <v>240400</v>
      </c>
      <c r="P49" s="117"/>
      <c r="Q49" s="138">
        <f t="shared" si="0"/>
        <v>0</v>
      </c>
    </row>
    <row r="50" spans="2:17" x14ac:dyDescent="0.2">
      <c r="B50" s="164" t="s">
        <v>89</v>
      </c>
      <c r="C50" s="165" t="s">
        <v>88</v>
      </c>
      <c r="D50" s="117"/>
      <c r="E50" s="117"/>
      <c r="F50" s="117"/>
      <c r="G50" s="166">
        <v>0</v>
      </c>
      <c r="H50" s="166">
        <v>0</v>
      </c>
      <c r="I50" s="167">
        <v>0</v>
      </c>
      <c r="J50" s="117"/>
      <c r="K50" s="117"/>
      <c r="L50" s="167">
        <v>0</v>
      </c>
      <c r="M50" s="117"/>
      <c r="N50" s="117"/>
      <c r="O50" s="167">
        <v>0</v>
      </c>
      <c r="P50" s="117"/>
      <c r="Q50" s="138"/>
    </row>
    <row r="51" spans="2:17" x14ac:dyDescent="0.2">
      <c r="B51" s="164" t="s">
        <v>85</v>
      </c>
      <c r="C51" s="165" t="s">
        <v>84</v>
      </c>
      <c r="D51" s="117"/>
      <c r="E51" s="117"/>
      <c r="F51" s="117"/>
      <c r="G51" s="166">
        <v>238900</v>
      </c>
      <c r="H51" s="166">
        <v>0</v>
      </c>
      <c r="I51" s="167">
        <v>0</v>
      </c>
      <c r="J51" s="117"/>
      <c r="K51" s="117"/>
      <c r="L51" s="167">
        <v>0</v>
      </c>
      <c r="M51" s="117"/>
      <c r="N51" s="117"/>
      <c r="O51" s="167">
        <v>238900</v>
      </c>
      <c r="P51" s="117"/>
      <c r="Q51" s="138">
        <f t="shared" si="0"/>
        <v>0</v>
      </c>
    </row>
    <row r="52" spans="2:17" x14ac:dyDescent="0.2">
      <c r="B52" s="164" t="s">
        <v>81</v>
      </c>
      <c r="C52" s="165" t="s">
        <v>80</v>
      </c>
      <c r="D52" s="117"/>
      <c r="E52" s="117"/>
      <c r="F52" s="117"/>
      <c r="G52" s="166">
        <v>0</v>
      </c>
      <c r="H52" s="166">
        <v>0</v>
      </c>
      <c r="I52" s="167">
        <v>0</v>
      </c>
      <c r="J52" s="117"/>
      <c r="K52" s="117"/>
      <c r="L52" s="167">
        <v>0</v>
      </c>
      <c r="M52" s="117"/>
      <c r="N52" s="117"/>
      <c r="O52" s="167">
        <v>0</v>
      </c>
      <c r="P52" s="117"/>
      <c r="Q52" s="138"/>
    </row>
    <row r="53" spans="2:17" x14ac:dyDescent="0.2">
      <c r="B53" s="164" t="s">
        <v>75</v>
      </c>
      <c r="C53" s="165" t="s">
        <v>74</v>
      </c>
      <c r="D53" s="117"/>
      <c r="E53" s="117"/>
      <c r="F53" s="117"/>
      <c r="G53" s="166">
        <v>1500</v>
      </c>
      <c r="H53" s="166">
        <v>0</v>
      </c>
      <c r="I53" s="167">
        <v>0</v>
      </c>
      <c r="J53" s="117"/>
      <c r="K53" s="117"/>
      <c r="L53" s="167">
        <v>0</v>
      </c>
      <c r="M53" s="117"/>
      <c r="N53" s="117"/>
      <c r="O53" s="167">
        <v>1500</v>
      </c>
      <c r="P53" s="117"/>
      <c r="Q53" s="138">
        <f t="shared" si="0"/>
        <v>0</v>
      </c>
    </row>
    <row r="54" spans="2:17" ht="22.5" x14ac:dyDescent="0.2">
      <c r="B54" s="160" t="s">
        <v>252</v>
      </c>
      <c r="C54" s="168" t="s">
        <v>253</v>
      </c>
      <c r="D54" s="169"/>
      <c r="E54" s="169"/>
      <c r="F54" s="169"/>
      <c r="G54" s="162">
        <v>930</v>
      </c>
      <c r="H54" s="162">
        <v>534.84</v>
      </c>
      <c r="I54" s="163">
        <v>0</v>
      </c>
      <c r="J54" s="117"/>
      <c r="K54" s="117"/>
      <c r="L54" s="163">
        <v>534.84</v>
      </c>
      <c r="M54" s="117"/>
      <c r="N54" s="117"/>
      <c r="O54" s="163">
        <v>395.16</v>
      </c>
      <c r="P54" s="117"/>
      <c r="Q54" s="138">
        <f t="shared" si="0"/>
        <v>57.509677419354844</v>
      </c>
    </row>
    <row r="55" spans="2:17" x14ac:dyDescent="0.2">
      <c r="B55" s="164" t="s">
        <v>183</v>
      </c>
      <c r="C55" s="165" t="s">
        <v>182</v>
      </c>
      <c r="D55" s="117"/>
      <c r="E55" s="117"/>
      <c r="F55" s="117"/>
      <c r="G55" s="166">
        <v>930</v>
      </c>
      <c r="H55" s="166">
        <v>534.84</v>
      </c>
      <c r="I55" s="167">
        <v>0</v>
      </c>
      <c r="J55" s="117"/>
      <c r="K55" s="117"/>
      <c r="L55" s="167">
        <v>534.84</v>
      </c>
      <c r="M55" s="117"/>
      <c r="N55" s="117"/>
      <c r="O55" s="167">
        <v>395.16</v>
      </c>
      <c r="P55" s="117"/>
      <c r="Q55" s="138">
        <f t="shared" si="0"/>
        <v>57.509677419354844</v>
      </c>
    </row>
    <row r="56" spans="2:17" x14ac:dyDescent="0.2">
      <c r="B56" s="164" t="s">
        <v>143</v>
      </c>
      <c r="C56" s="165" t="s">
        <v>142</v>
      </c>
      <c r="D56" s="117"/>
      <c r="E56" s="117"/>
      <c r="F56" s="117"/>
      <c r="G56" s="166">
        <v>930</v>
      </c>
      <c r="H56" s="166">
        <v>534.84</v>
      </c>
      <c r="I56" s="167">
        <v>0</v>
      </c>
      <c r="J56" s="117"/>
      <c r="K56" s="117"/>
      <c r="L56" s="167">
        <v>534.84</v>
      </c>
      <c r="M56" s="117"/>
      <c r="N56" s="117"/>
      <c r="O56" s="167">
        <v>395.16</v>
      </c>
      <c r="P56" s="117"/>
      <c r="Q56" s="138">
        <f t="shared" si="0"/>
        <v>57.509677419354844</v>
      </c>
    </row>
    <row r="57" spans="2:17" ht="22.5" x14ac:dyDescent="0.2">
      <c r="B57" s="160" t="s">
        <v>254</v>
      </c>
      <c r="C57" s="161" t="s">
        <v>255</v>
      </c>
      <c r="D57" s="117"/>
      <c r="E57" s="117"/>
      <c r="F57" s="117"/>
      <c r="G57" s="162">
        <v>0</v>
      </c>
      <c r="H57" s="162">
        <v>371.06</v>
      </c>
      <c r="I57" s="163">
        <v>0</v>
      </c>
      <c r="J57" s="117"/>
      <c r="K57" s="117"/>
      <c r="L57" s="163">
        <v>371.06</v>
      </c>
      <c r="M57" s="117"/>
      <c r="N57" s="117"/>
      <c r="O57" s="163">
        <v>-371.06</v>
      </c>
      <c r="P57" s="117"/>
      <c r="Q57" s="138"/>
    </row>
    <row r="58" spans="2:17" x14ac:dyDescent="0.2">
      <c r="B58" s="164" t="s">
        <v>104</v>
      </c>
      <c r="C58" s="165" t="s">
        <v>103</v>
      </c>
      <c r="D58" s="117"/>
      <c r="E58" s="117"/>
      <c r="F58" s="117"/>
      <c r="G58" s="166">
        <v>0</v>
      </c>
      <c r="H58" s="166">
        <v>371.06</v>
      </c>
      <c r="I58" s="167">
        <v>0</v>
      </c>
      <c r="J58" s="117"/>
      <c r="K58" s="117"/>
      <c r="L58" s="167">
        <v>371.06</v>
      </c>
      <c r="M58" s="117"/>
      <c r="N58" s="117"/>
      <c r="O58" s="167">
        <v>-371.06</v>
      </c>
      <c r="P58" s="117"/>
      <c r="Q58" s="138"/>
    </row>
    <row r="59" spans="2:17" x14ac:dyDescent="0.2">
      <c r="B59" s="164" t="s">
        <v>101</v>
      </c>
      <c r="C59" s="165" t="s">
        <v>100</v>
      </c>
      <c r="D59" s="117"/>
      <c r="E59" s="117"/>
      <c r="F59" s="117"/>
      <c r="G59" s="166">
        <v>0</v>
      </c>
      <c r="H59" s="166">
        <v>371.06</v>
      </c>
      <c r="I59" s="167">
        <v>0</v>
      </c>
      <c r="J59" s="117"/>
      <c r="K59" s="117"/>
      <c r="L59" s="167">
        <v>371.06</v>
      </c>
      <c r="M59" s="117"/>
      <c r="N59" s="117"/>
      <c r="O59" s="167">
        <v>-371.06</v>
      </c>
      <c r="P59" s="117"/>
      <c r="Q59" s="138"/>
    </row>
    <row r="60" spans="2:17" x14ac:dyDescent="0.2">
      <c r="B60" s="152" t="s">
        <v>256</v>
      </c>
      <c r="C60" s="153" t="s">
        <v>257</v>
      </c>
      <c r="D60" s="117"/>
      <c r="E60" s="117"/>
      <c r="F60" s="117"/>
      <c r="G60" s="154">
        <v>75030</v>
      </c>
      <c r="H60" s="154">
        <v>38332.879999999997</v>
      </c>
      <c r="I60" s="155">
        <v>0</v>
      </c>
      <c r="J60" s="117"/>
      <c r="K60" s="117"/>
      <c r="L60" s="155">
        <v>38332.879999999997</v>
      </c>
      <c r="M60" s="117"/>
      <c r="N60" s="117"/>
      <c r="O60" s="155">
        <v>36697.120000000003</v>
      </c>
      <c r="P60" s="117"/>
      <c r="Q60" s="151">
        <f t="shared" si="0"/>
        <v>51.090070638411298</v>
      </c>
    </row>
    <row r="61" spans="2:17" x14ac:dyDescent="0.2">
      <c r="B61" s="156" t="s">
        <v>240</v>
      </c>
      <c r="C61" s="157" t="s">
        <v>241</v>
      </c>
      <c r="D61" s="117"/>
      <c r="E61" s="117"/>
      <c r="F61" s="117"/>
      <c r="G61" s="158">
        <v>75030</v>
      </c>
      <c r="H61" s="158">
        <v>38332.879999999997</v>
      </c>
      <c r="I61" s="159">
        <v>0</v>
      </c>
      <c r="J61" s="117"/>
      <c r="K61" s="117"/>
      <c r="L61" s="159">
        <v>38332.879999999997</v>
      </c>
      <c r="M61" s="117"/>
      <c r="N61" s="117"/>
      <c r="O61" s="159">
        <v>36697.120000000003</v>
      </c>
      <c r="P61" s="117"/>
      <c r="Q61" s="138">
        <f t="shared" si="0"/>
        <v>51.090070638411298</v>
      </c>
    </row>
    <row r="62" spans="2:17" ht="22.5" x14ac:dyDescent="0.2">
      <c r="B62" s="160" t="s">
        <v>242</v>
      </c>
      <c r="C62" s="161" t="s">
        <v>243</v>
      </c>
      <c r="D62" s="117"/>
      <c r="E62" s="117"/>
      <c r="F62" s="117"/>
      <c r="G62" s="162">
        <v>69410</v>
      </c>
      <c r="H62" s="162">
        <v>38332.879999999997</v>
      </c>
      <c r="I62" s="163">
        <v>0</v>
      </c>
      <c r="J62" s="117"/>
      <c r="K62" s="117"/>
      <c r="L62" s="163">
        <v>38332.879999999997</v>
      </c>
      <c r="M62" s="117"/>
      <c r="N62" s="117"/>
      <c r="O62" s="163">
        <v>31077.119999999999</v>
      </c>
      <c r="P62" s="117"/>
      <c r="Q62" s="138">
        <f t="shared" si="0"/>
        <v>55.226739662872781</v>
      </c>
    </row>
    <row r="63" spans="2:17" x14ac:dyDescent="0.2">
      <c r="B63" s="164" t="s">
        <v>183</v>
      </c>
      <c r="C63" s="165" t="s">
        <v>182</v>
      </c>
      <c r="D63" s="117"/>
      <c r="E63" s="117"/>
      <c r="F63" s="117"/>
      <c r="G63" s="166">
        <v>68750</v>
      </c>
      <c r="H63" s="166">
        <v>38057.32</v>
      </c>
      <c r="I63" s="167">
        <v>0</v>
      </c>
      <c r="J63" s="117"/>
      <c r="K63" s="117"/>
      <c r="L63" s="167">
        <v>38057.32</v>
      </c>
      <c r="M63" s="117"/>
      <c r="N63" s="117"/>
      <c r="O63" s="167">
        <v>30692.68</v>
      </c>
      <c r="P63" s="117"/>
      <c r="Q63" s="138">
        <f t="shared" si="0"/>
        <v>55.356101818181813</v>
      </c>
    </row>
    <row r="64" spans="2:17" x14ac:dyDescent="0.2">
      <c r="B64" s="164" t="s">
        <v>179</v>
      </c>
      <c r="C64" s="165" t="s">
        <v>178</v>
      </c>
      <c r="D64" s="117"/>
      <c r="E64" s="117"/>
      <c r="F64" s="117"/>
      <c r="G64" s="166">
        <v>530</v>
      </c>
      <c r="H64" s="166">
        <v>653.97</v>
      </c>
      <c r="I64" s="167">
        <v>0</v>
      </c>
      <c r="J64" s="117"/>
      <c r="K64" s="117"/>
      <c r="L64" s="167">
        <v>653.97</v>
      </c>
      <c r="M64" s="117"/>
      <c r="N64" s="117"/>
      <c r="O64" s="167">
        <v>-123.97</v>
      </c>
      <c r="P64" s="117"/>
      <c r="Q64" s="138">
        <f t="shared" si="0"/>
        <v>123.39056603773587</v>
      </c>
    </row>
    <row r="65" spans="2:17" x14ac:dyDescent="0.2">
      <c r="B65" s="164" t="s">
        <v>177</v>
      </c>
      <c r="C65" s="165" t="s">
        <v>176</v>
      </c>
      <c r="D65" s="117"/>
      <c r="E65" s="117"/>
      <c r="F65" s="117"/>
      <c r="G65" s="166">
        <v>19910</v>
      </c>
      <c r="H65" s="166">
        <v>8791.64</v>
      </c>
      <c r="I65" s="167">
        <v>0</v>
      </c>
      <c r="J65" s="117"/>
      <c r="K65" s="117"/>
      <c r="L65" s="167">
        <v>8791.64</v>
      </c>
      <c r="M65" s="117"/>
      <c r="N65" s="117"/>
      <c r="O65" s="167">
        <v>11118.36</v>
      </c>
      <c r="P65" s="117"/>
      <c r="Q65" s="138">
        <f t="shared" si="0"/>
        <v>44.156906077348062</v>
      </c>
    </row>
    <row r="66" spans="2:17" x14ac:dyDescent="0.2">
      <c r="B66" s="164" t="s">
        <v>175</v>
      </c>
      <c r="C66" s="165" t="s">
        <v>174</v>
      </c>
      <c r="D66" s="117"/>
      <c r="E66" s="117"/>
      <c r="F66" s="117"/>
      <c r="G66" s="166">
        <v>660</v>
      </c>
      <c r="H66" s="166">
        <v>0</v>
      </c>
      <c r="I66" s="167">
        <v>0</v>
      </c>
      <c r="J66" s="117"/>
      <c r="K66" s="117"/>
      <c r="L66" s="167">
        <v>0</v>
      </c>
      <c r="M66" s="117"/>
      <c r="N66" s="117"/>
      <c r="O66" s="167">
        <v>660</v>
      </c>
      <c r="P66" s="117"/>
      <c r="Q66" s="138">
        <f t="shared" si="0"/>
        <v>0</v>
      </c>
    </row>
    <row r="67" spans="2:17" x14ac:dyDescent="0.2">
      <c r="B67" s="164" t="s">
        <v>169</v>
      </c>
      <c r="C67" s="165" t="s">
        <v>168</v>
      </c>
      <c r="D67" s="117"/>
      <c r="E67" s="117"/>
      <c r="F67" s="117"/>
      <c r="G67" s="166">
        <v>4110</v>
      </c>
      <c r="H67" s="166">
        <v>7122.47</v>
      </c>
      <c r="I67" s="167">
        <v>0</v>
      </c>
      <c r="J67" s="117"/>
      <c r="K67" s="117"/>
      <c r="L67" s="167">
        <v>7122.47</v>
      </c>
      <c r="M67" s="117"/>
      <c r="N67" s="117"/>
      <c r="O67" s="167">
        <v>-3012.47</v>
      </c>
      <c r="P67" s="117"/>
      <c r="Q67" s="138">
        <f t="shared" si="0"/>
        <v>173.29610705596107</v>
      </c>
    </row>
    <row r="68" spans="2:17" x14ac:dyDescent="0.2">
      <c r="B68" s="164" t="s">
        <v>167</v>
      </c>
      <c r="C68" s="165" t="s">
        <v>166</v>
      </c>
      <c r="D68" s="117"/>
      <c r="E68" s="117"/>
      <c r="F68" s="117"/>
      <c r="G68" s="166">
        <v>0</v>
      </c>
      <c r="H68" s="166">
        <v>241.34</v>
      </c>
      <c r="I68" s="167">
        <v>0</v>
      </c>
      <c r="J68" s="117"/>
      <c r="K68" s="117"/>
      <c r="L68" s="167">
        <v>241.34</v>
      </c>
      <c r="M68" s="117"/>
      <c r="N68" s="117"/>
      <c r="O68" s="167">
        <v>-241.34</v>
      </c>
      <c r="P68" s="117"/>
      <c r="Q68" s="138"/>
    </row>
    <row r="69" spans="2:17" x14ac:dyDescent="0.2">
      <c r="B69" s="164" t="s">
        <v>165</v>
      </c>
      <c r="C69" s="165" t="s">
        <v>164</v>
      </c>
      <c r="D69" s="117"/>
      <c r="E69" s="117"/>
      <c r="F69" s="117"/>
      <c r="G69" s="166">
        <v>8760</v>
      </c>
      <c r="H69" s="166">
        <v>0</v>
      </c>
      <c r="I69" s="167">
        <v>0</v>
      </c>
      <c r="J69" s="117"/>
      <c r="K69" s="117"/>
      <c r="L69" s="167">
        <v>0</v>
      </c>
      <c r="M69" s="117"/>
      <c r="N69" s="117"/>
      <c r="O69" s="167">
        <v>8760</v>
      </c>
      <c r="P69" s="117"/>
      <c r="Q69" s="138">
        <f t="shared" si="0"/>
        <v>0</v>
      </c>
    </row>
    <row r="70" spans="2:17" x14ac:dyDescent="0.2">
      <c r="B70" s="164" t="s">
        <v>163</v>
      </c>
      <c r="C70" s="165" t="s">
        <v>162</v>
      </c>
      <c r="D70" s="117"/>
      <c r="E70" s="117"/>
      <c r="F70" s="117"/>
      <c r="G70" s="166">
        <v>2120</v>
      </c>
      <c r="H70" s="166">
        <v>372.92</v>
      </c>
      <c r="I70" s="167">
        <v>0</v>
      </c>
      <c r="J70" s="117"/>
      <c r="K70" s="117"/>
      <c r="L70" s="167">
        <v>372.92</v>
      </c>
      <c r="M70" s="117"/>
      <c r="N70" s="117"/>
      <c r="O70" s="167">
        <v>1747.08</v>
      </c>
      <c r="P70" s="117"/>
      <c r="Q70" s="138">
        <f t="shared" si="0"/>
        <v>17.590566037735851</v>
      </c>
    </row>
    <row r="71" spans="2:17" x14ac:dyDescent="0.2">
      <c r="B71" s="164" t="s">
        <v>161</v>
      </c>
      <c r="C71" s="165" t="s">
        <v>160</v>
      </c>
      <c r="D71" s="117"/>
      <c r="E71" s="117"/>
      <c r="F71" s="117"/>
      <c r="G71" s="166">
        <v>660</v>
      </c>
      <c r="H71" s="166">
        <v>0</v>
      </c>
      <c r="I71" s="167">
        <v>0</v>
      </c>
      <c r="J71" s="117"/>
      <c r="K71" s="117"/>
      <c r="L71" s="167">
        <v>0</v>
      </c>
      <c r="M71" s="117"/>
      <c r="N71" s="117"/>
      <c r="O71" s="167">
        <v>660</v>
      </c>
      <c r="P71" s="117"/>
      <c r="Q71" s="138">
        <f t="shared" si="0"/>
        <v>0</v>
      </c>
    </row>
    <row r="72" spans="2:17" x14ac:dyDescent="0.2">
      <c r="B72" s="164" t="s">
        <v>159</v>
      </c>
      <c r="C72" s="165" t="s">
        <v>158</v>
      </c>
      <c r="D72" s="117"/>
      <c r="E72" s="117"/>
      <c r="F72" s="117"/>
      <c r="G72" s="166">
        <v>0</v>
      </c>
      <c r="H72" s="166">
        <v>368.09</v>
      </c>
      <c r="I72" s="167">
        <v>0</v>
      </c>
      <c r="J72" s="117"/>
      <c r="K72" s="117"/>
      <c r="L72" s="167">
        <v>368.09</v>
      </c>
      <c r="M72" s="117"/>
      <c r="N72" s="117"/>
      <c r="O72" s="167">
        <v>-368.09</v>
      </c>
      <c r="P72" s="117"/>
      <c r="Q72" s="138"/>
    </row>
    <row r="73" spans="2:17" x14ac:dyDescent="0.2">
      <c r="B73" s="164" t="s">
        <v>155</v>
      </c>
      <c r="C73" s="165" t="s">
        <v>154</v>
      </c>
      <c r="D73" s="117"/>
      <c r="E73" s="117"/>
      <c r="F73" s="117"/>
      <c r="G73" s="166">
        <v>1990</v>
      </c>
      <c r="H73" s="166">
        <v>810.1</v>
      </c>
      <c r="I73" s="167">
        <v>0</v>
      </c>
      <c r="J73" s="117"/>
      <c r="K73" s="117"/>
      <c r="L73" s="167">
        <v>810.1</v>
      </c>
      <c r="M73" s="117"/>
      <c r="N73" s="117"/>
      <c r="O73" s="167">
        <v>1179.9000000000001</v>
      </c>
      <c r="P73" s="117"/>
      <c r="Q73" s="138">
        <f t="shared" si="0"/>
        <v>40.708542713567844</v>
      </c>
    </row>
    <row r="74" spans="2:17" x14ac:dyDescent="0.2">
      <c r="B74" s="164" t="s">
        <v>153</v>
      </c>
      <c r="C74" s="165" t="s">
        <v>152</v>
      </c>
      <c r="D74" s="117"/>
      <c r="E74" s="117"/>
      <c r="F74" s="117"/>
      <c r="G74" s="166">
        <v>15930</v>
      </c>
      <c r="H74" s="166">
        <v>171.9</v>
      </c>
      <c r="I74" s="167">
        <v>0</v>
      </c>
      <c r="J74" s="117"/>
      <c r="K74" s="117"/>
      <c r="L74" s="167">
        <v>171.9</v>
      </c>
      <c r="M74" s="117"/>
      <c r="N74" s="117"/>
      <c r="O74" s="167">
        <v>15758.1</v>
      </c>
      <c r="P74" s="117"/>
      <c r="Q74" s="138">
        <f t="shared" si="0"/>
        <v>1.0790960451977403</v>
      </c>
    </row>
    <row r="75" spans="2:17" x14ac:dyDescent="0.2">
      <c r="B75" s="164" t="s">
        <v>151</v>
      </c>
      <c r="C75" s="165" t="s">
        <v>150</v>
      </c>
      <c r="D75" s="117"/>
      <c r="E75" s="117"/>
      <c r="F75" s="117"/>
      <c r="G75" s="166">
        <v>270</v>
      </c>
      <c r="H75" s="166">
        <v>0</v>
      </c>
      <c r="I75" s="167">
        <v>0</v>
      </c>
      <c r="J75" s="117"/>
      <c r="K75" s="117"/>
      <c r="L75" s="167">
        <v>0</v>
      </c>
      <c r="M75" s="117"/>
      <c r="N75" s="117"/>
      <c r="O75" s="167">
        <v>270</v>
      </c>
      <c r="P75" s="117"/>
      <c r="Q75" s="138">
        <f t="shared" si="0"/>
        <v>0</v>
      </c>
    </row>
    <row r="76" spans="2:17" x14ac:dyDescent="0.2">
      <c r="B76" s="164" t="s">
        <v>149</v>
      </c>
      <c r="C76" s="165" t="s">
        <v>148</v>
      </c>
      <c r="D76" s="117"/>
      <c r="E76" s="117"/>
      <c r="F76" s="117"/>
      <c r="G76" s="166">
        <v>6370</v>
      </c>
      <c r="H76" s="166">
        <v>3136.52</v>
      </c>
      <c r="I76" s="167">
        <v>0</v>
      </c>
      <c r="J76" s="117"/>
      <c r="K76" s="117"/>
      <c r="L76" s="167">
        <v>3136.52</v>
      </c>
      <c r="M76" s="117"/>
      <c r="N76" s="117"/>
      <c r="O76" s="167">
        <v>3233.48</v>
      </c>
      <c r="P76" s="117"/>
      <c r="Q76" s="138">
        <f t="shared" si="0"/>
        <v>49.238932496075357</v>
      </c>
    </row>
    <row r="77" spans="2:17" x14ac:dyDescent="0.2">
      <c r="B77" s="164" t="s">
        <v>147</v>
      </c>
      <c r="C77" s="165" t="s">
        <v>146</v>
      </c>
      <c r="D77" s="117"/>
      <c r="E77" s="117"/>
      <c r="F77" s="117"/>
      <c r="G77" s="166">
        <v>0</v>
      </c>
      <c r="H77" s="166">
        <v>1688.1</v>
      </c>
      <c r="I77" s="167">
        <v>0</v>
      </c>
      <c r="J77" s="117"/>
      <c r="K77" s="117"/>
      <c r="L77" s="167">
        <v>1688.1</v>
      </c>
      <c r="M77" s="117"/>
      <c r="N77" s="117"/>
      <c r="O77" s="167">
        <v>-1688.1</v>
      </c>
      <c r="P77" s="117"/>
      <c r="Q77" s="138"/>
    </row>
    <row r="78" spans="2:17" x14ac:dyDescent="0.2">
      <c r="B78" s="164" t="s">
        <v>145</v>
      </c>
      <c r="C78" s="165" t="s">
        <v>144</v>
      </c>
      <c r="D78" s="117"/>
      <c r="E78" s="117"/>
      <c r="F78" s="117"/>
      <c r="G78" s="166">
        <v>2390</v>
      </c>
      <c r="H78" s="166">
        <v>0</v>
      </c>
      <c r="I78" s="167">
        <v>0</v>
      </c>
      <c r="J78" s="117"/>
      <c r="K78" s="117"/>
      <c r="L78" s="167">
        <v>0</v>
      </c>
      <c r="M78" s="117"/>
      <c r="N78" s="117"/>
      <c r="O78" s="167">
        <v>2390</v>
      </c>
      <c r="P78" s="117"/>
      <c r="Q78" s="138">
        <f t="shared" ref="Q78:Q132" si="1">(H78/G78)*100</f>
        <v>0</v>
      </c>
    </row>
    <row r="79" spans="2:17" x14ac:dyDescent="0.2">
      <c r="B79" s="164" t="s">
        <v>143</v>
      </c>
      <c r="C79" s="165" t="s">
        <v>142</v>
      </c>
      <c r="D79" s="117"/>
      <c r="E79" s="117"/>
      <c r="F79" s="117"/>
      <c r="G79" s="166">
        <v>800</v>
      </c>
      <c r="H79" s="166">
        <v>12905.88</v>
      </c>
      <c r="I79" s="167">
        <v>0</v>
      </c>
      <c r="J79" s="117"/>
      <c r="K79" s="117"/>
      <c r="L79" s="167">
        <v>12905.88</v>
      </c>
      <c r="M79" s="117"/>
      <c r="N79" s="117"/>
      <c r="O79" s="167">
        <v>-12105.88</v>
      </c>
      <c r="P79" s="117"/>
      <c r="Q79" s="138">
        <f t="shared" si="1"/>
        <v>1613.2349999999999</v>
      </c>
    </row>
    <row r="80" spans="2:17" x14ac:dyDescent="0.2">
      <c r="B80" s="164" t="s">
        <v>141</v>
      </c>
      <c r="C80" s="165" t="s">
        <v>140</v>
      </c>
      <c r="D80" s="117"/>
      <c r="E80" s="117"/>
      <c r="F80" s="117"/>
      <c r="G80" s="166">
        <v>1060</v>
      </c>
      <c r="H80" s="166">
        <v>526.25</v>
      </c>
      <c r="I80" s="167">
        <v>0</v>
      </c>
      <c r="J80" s="117"/>
      <c r="K80" s="117"/>
      <c r="L80" s="167">
        <v>526.25</v>
      </c>
      <c r="M80" s="117"/>
      <c r="N80" s="117"/>
      <c r="O80" s="167">
        <v>533.75</v>
      </c>
      <c r="P80" s="117"/>
      <c r="Q80" s="138">
        <f t="shared" si="1"/>
        <v>49.64622641509434</v>
      </c>
    </row>
    <row r="81" spans="2:17" x14ac:dyDescent="0.2">
      <c r="B81" s="164" t="s">
        <v>139</v>
      </c>
      <c r="C81" s="165" t="s">
        <v>138</v>
      </c>
      <c r="D81" s="117"/>
      <c r="E81" s="117"/>
      <c r="F81" s="117"/>
      <c r="G81" s="166">
        <v>930</v>
      </c>
      <c r="H81" s="166">
        <v>162.74</v>
      </c>
      <c r="I81" s="167">
        <v>0</v>
      </c>
      <c r="J81" s="117"/>
      <c r="K81" s="117"/>
      <c r="L81" s="167">
        <v>162.74</v>
      </c>
      <c r="M81" s="117"/>
      <c r="N81" s="117"/>
      <c r="O81" s="167">
        <v>767.26</v>
      </c>
      <c r="P81" s="117"/>
      <c r="Q81" s="138">
        <f t="shared" si="1"/>
        <v>17.498924731182797</v>
      </c>
    </row>
    <row r="82" spans="2:17" x14ac:dyDescent="0.2">
      <c r="B82" s="164" t="s">
        <v>134</v>
      </c>
      <c r="C82" s="165" t="s">
        <v>133</v>
      </c>
      <c r="D82" s="117"/>
      <c r="E82" s="117"/>
      <c r="F82" s="117"/>
      <c r="G82" s="166">
        <v>930</v>
      </c>
      <c r="H82" s="166">
        <v>0</v>
      </c>
      <c r="I82" s="167">
        <v>0</v>
      </c>
      <c r="J82" s="117"/>
      <c r="K82" s="117"/>
      <c r="L82" s="167">
        <v>0</v>
      </c>
      <c r="M82" s="117"/>
      <c r="N82" s="117"/>
      <c r="O82" s="167">
        <v>930</v>
      </c>
      <c r="P82" s="117"/>
      <c r="Q82" s="138">
        <f t="shared" si="1"/>
        <v>0</v>
      </c>
    </row>
    <row r="83" spans="2:17" x14ac:dyDescent="0.2">
      <c r="B83" s="164" t="s">
        <v>132</v>
      </c>
      <c r="C83" s="165" t="s">
        <v>131</v>
      </c>
      <c r="D83" s="117"/>
      <c r="E83" s="117"/>
      <c r="F83" s="117"/>
      <c r="G83" s="166">
        <v>270</v>
      </c>
      <c r="H83" s="166">
        <v>110.6</v>
      </c>
      <c r="I83" s="167">
        <v>0</v>
      </c>
      <c r="J83" s="117"/>
      <c r="K83" s="117"/>
      <c r="L83" s="167">
        <v>110.6</v>
      </c>
      <c r="M83" s="117"/>
      <c r="N83" s="117"/>
      <c r="O83" s="167">
        <v>159.4</v>
      </c>
      <c r="P83" s="117"/>
      <c r="Q83" s="138">
        <f t="shared" si="1"/>
        <v>40.962962962962962</v>
      </c>
    </row>
    <row r="84" spans="2:17" x14ac:dyDescent="0.2">
      <c r="B84" s="164" t="s">
        <v>130</v>
      </c>
      <c r="C84" s="165" t="s">
        <v>129</v>
      </c>
      <c r="D84" s="117"/>
      <c r="E84" s="117"/>
      <c r="F84" s="117"/>
      <c r="G84" s="166">
        <v>130</v>
      </c>
      <c r="H84" s="166">
        <v>35</v>
      </c>
      <c r="I84" s="167">
        <v>0</v>
      </c>
      <c r="J84" s="117"/>
      <c r="K84" s="117"/>
      <c r="L84" s="167">
        <v>35</v>
      </c>
      <c r="M84" s="117"/>
      <c r="N84" s="117"/>
      <c r="O84" s="167">
        <v>95</v>
      </c>
      <c r="P84" s="117"/>
      <c r="Q84" s="138">
        <f t="shared" si="1"/>
        <v>26.923076923076923</v>
      </c>
    </row>
    <row r="85" spans="2:17" x14ac:dyDescent="0.2">
      <c r="B85" s="164" t="s">
        <v>128</v>
      </c>
      <c r="C85" s="165" t="s">
        <v>127</v>
      </c>
      <c r="D85" s="117"/>
      <c r="E85" s="117"/>
      <c r="F85" s="117"/>
      <c r="G85" s="166">
        <v>0</v>
      </c>
      <c r="H85" s="166">
        <v>0</v>
      </c>
      <c r="I85" s="167">
        <v>0</v>
      </c>
      <c r="J85" s="117"/>
      <c r="K85" s="117"/>
      <c r="L85" s="167">
        <v>0</v>
      </c>
      <c r="M85" s="117"/>
      <c r="N85" s="117"/>
      <c r="O85" s="167">
        <v>0</v>
      </c>
      <c r="P85" s="117"/>
      <c r="Q85" s="138"/>
    </row>
    <row r="86" spans="2:17" x14ac:dyDescent="0.2">
      <c r="B86" s="164" t="s">
        <v>124</v>
      </c>
      <c r="C86" s="165" t="s">
        <v>123</v>
      </c>
      <c r="D86" s="117"/>
      <c r="E86" s="117"/>
      <c r="F86" s="117"/>
      <c r="G86" s="166">
        <v>930</v>
      </c>
      <c r="H86" s="166">
        <v>959.8</v>
      </c>
      <c r="I86" s="167">
        <v>0</v>
      </c>
      <c r="J86" s="117"/>
      <c r="K86" s="117"/>
      <c r="L86" s="167">
        <v>959.8</v>
      </c>
      <c r="M86" s="117"/>
      <c r="N86" s="117"/>
      <c r="O86" s="167">
        <v>-29.8</v>
      </c>
      <c r="P86" s="117"/>
      <c r="Q86" s="138">
        <f t="shared" si="1"/>
        <v>103.20430107526882</v>
      </c>
    </row>
    <row r="87" spans="2:17" x14ac:dyDescent="0.2">
      <c r="B87" s="164" t="s">
        <v>122</v>
      </c>
      <c r="C87" s="165" t="s">
        <v>121</v>
      </c>
      <c r="D87" s="117"/>
      <c r="E87" s="117"/>
      <c r="F87" s="117"/>
      <c r="G87" s="166">
        <v>660</v>
      </c>
      <c r="H87" s="166">
        <v>275.56</v>
      </c>
      <c r="I87" s="167">
        <v>0</v>
      </c>
      <c r="J87" s="117"/>
      <c r="K87" s="117"/>
      <c r="L87" s="167">
        <v>275.56</v>
      </c>
      <c r="M87" s="117"/>
      <c r="N87" s="117"/>
      <c r="O87" s="167">
        <v>384.44</v>
      </c>
      <c r="P87" s="117"/>
      <c r="Q87" s="138">
        <f t="shared" si="1"/>
        <v>41.75151515151515</v>
      </c>
    </row>
    <row r="88" spans="2:17" x14ac:dyDescent="0.2">
      <c r="B88" s="164" t="s">
        <v>118</v>
      </c>
      <c r="C88" s="165" t="s">
        <v>117</v>
      </c>
      <c r="D88" s="117"/>
      <c r="E88" s="117"/>
      <c r="F88" s="117"/>
      <c r="G88" s="166">
        <v>400</v>
      </c>
      <c r="H88" s="166">
        <v>275.56</v>
      </c>
      <c r="I88" s="167">
        <v>0</v>
      </c>
      <c r="J88" s="117"/>
      <c r="K88" s="117"/>
      <c r="L88" s="167">
        <v>275.56</v>
      </c>
      <c r="M88" s="117"/>
      <c r="N88" s="117"/>
      <c r="O88" s="167">
        <v>124.44</v>
      </c>
      <c r="P88" s="117"/>
      <c r="Q88" s="138">
        <f t="shared" si="1"/>
        <v>68.89</v>
      </c>
    </row>
    <row r="89" spans="2:17" x14ac:dyDescent="0.2">
      <c r="B89" s="164" t="s">
        <v>116</v>
      </c>
      <c r="C89" s="165" t="s">
        <v>115</v>
      </c>
      <c r="D89" s="117"/>
      <c r="E89" s="117"/>
      <c r="F89" s="117"/>
      <c r="G89" s="166">
        <v>130</v>
      </c>
      <c r="H89" s="166">
        <v>0</v>
      </c>
      <c r="I89" s="167">
        <v>0</v>
      </c>
      <c r="J89" s="117"/>
      <c r="K89" s="117"/>
      <c r="L89" s="167">
        <v>0</v>
      </c>
      <c r="M89" s="117"/>
      <c r="N89" s="117"/>
      <c r="O89" s="167">
        <v>130</v>
      </c>
      <c r="P89" s="117"/>
      <c r="Q89" s="138">
        <f t="shared" si="1"/>
        <v>0</v>
      </c>
    </row>
    <row r="90" spans="2:17" x14ac:dyDescent="0.2">
      <c r="B90" s="164" t="s">
        <v>114</v>
      </c>
      <c r="C90" s="165" t="s">
        <v>113</v>
      </c>
      <c r="D90" s="117"/>
      <c r="E90" s="117"/>
      <c r="F90" s="117"/>
      <c r="G90" s="166">
        <v>130</v>
      </c>
      <c r="H90" s="166">
        <v>0</v>
      </c>
      <c r="I90" s="167">
        <v>0</v>
      </c>
      <c r="J90" s="117"/>
      <c r="K90" s="117"/>
      <c r="L90" s="167">
        <v>0</v>
      </c>
      <c r="M90" s="117"/>
      <c r="N90" s="117"/>
      <c r="O90" s="167">
        <v>130</v>
      </c>
      <c r="P90" s="117"/>
      <c r="Q90" s="138">
        <f t="shared" si="1"/>
        <v>0</v>
      </c>
    </row>
    <row r="91" spans="2:17" ht="22.5" x14ac:dyDescent="0.2">
      <c r="B91" s="160" t="s">
        <v>250</v>
      </c>
      <c r="C91" s="161" t="s">
        <v>251</v>
      </c>
      <c r="D91" s="117"/>
      <c r="E91" s="117"/>
      <c r="F91" s="117"/>
      <c r="G91" s="162">
        <v>5620</v>
      </c>
      <c r="H91" s="162">
        <v>0</v>
      </c>
      <c r="I91" s="163">
        <v>0</v>
      </c>
      <c r="J91" s="117"/>
      <c r="K91" s="117"/>
      <c r="L91" s="163">
        <v>0</v>
      </c>
      <c r="M91" s="117"/>
      <c r="N91" s="117"/>
      <c r="O91" s="163">
        <v>5620</v>
      </c>
      <c r="P91" s="117"/>
      <c r="Q91" s="138">
        <f t="shared" si="1"/>
        <v>0</v>
      </c>
    </row>
    <row r="92" spans="2:17" x14ac:dyDescent="0.2">
      <c r="B92" s="164" t="s">
        <v>93</v>
      </c>
      <c r="C92" s="165" t="s">
        <v>92</v>
      </c>
      <c r="D92" s="117"/>
      <c r="E92" s="117"/>
      <c r="F92" s="117"/>
      <c r="G92" s="166">
        <v>5620</v>
      </c>
      <c r="H92" s="166">
        <v>0</v>
      </c>
      <c r="I92" s="167">
        <v>0</v>
      </c>
      <c r="J92" s="117"/>
      <c r="K92" s="117"/>
      <c r="L92" s="167">
        <v>0</v>
      </c>
      <c r="M92" s="117"/>
      <c r="N92" s="117"/>
      <c r="O92" s="167">
        <v>5620</v>
      </c>
      <c r="P92" s="117"/>
      <c r="Q92" s="138">
        <f t="shared" si="1"/>
        <v>0</v>
      </c>
    </row>
    <row r="93" spans="2:17" x14ac:dyDescent="0.2">
      <c r="B93" s="164" t="s">
        <v>89</v>
      </c>
      <c r="C93" s="165" t="s">
        <v>88</v>
      </c>
      <c r="D93" s="117"/>
      <c r="E93" s="117"/>
      <c r="F93" s="117"/>
      <c r="G93" s="166">
        <v>0</v>
      </c>
      <c r="H93" s="166">
        <v>0</v>
      </c>
      <c r="I93" s="167">
        <v>0</v>
      </c>
      <c r="J93" s="117"/>
      <c r="K93" s="117"/>
      <c r="L93" s="167">
        <v>0</v>
      </c>
      <c r="M93" s="117"/>
      <c r="N93" s="117"/>
      <c r="O93" s="167">
        <v>0</v>
      </c>
      <c r="P93" s="117"/>
      <c r="Q93" s="138"/>
    </row>
    <row r="94" spans="2:17" x14ac:dyDescent="0.2">
      <c r="B94" s="164" t="s">
        <v>85</v>
      </c>
      <c r="C94" s="165" t="s">
        <v>84</v>
      </c>
      <c r="D94" s="117"/>
      <c r="E94" s="117"/>
      <c r="F94" s="117"/>
      <c r="G94" s="166">
        <v>5620</v>
      </c>
      <c r="H94" s="166">
        <v>0</v>
      </c>
      <c r="I94" s="167">
        <v>0</v>
      </c>
      <c r="J94" s="117"/>
      <c r="K94" s="117"/>
      <c r="L94" s="167">
        <v>0</v>
      </c>
      <c r="M94" s="117"/>
      <c r="N94" s="117"/>
      <c r="O94" s="167">
        <v>5620</v>
      </c>
      <c r="P94" s="117"/>
      <c r="Q94" s="138">
        <f t="shared" si="1"/>
        <v>0</v>
      </c>
    </row>
    <row r="95" spans="2:17" x14ac:dyDescent="0.2">
      <c r="B95" s="164" t="s">
        <v>75</v>
      </c>
      <c r="C95" s="165" t="s">
        <v>74</v>
      </c>
      <c r="D95" s="117"/>
      <c r="E95" s="117"/>
      <c r="F95" s="117"/>
      <c r="G95" s="166">
        <v>0</v>
      </c>
      <c r="H95" s="166">
        <v>0</v>
      </c>
      <c r="I95" s="167">
        <v>0</v>
      </c>
      <c r="J95" s="117"/>
      <c r="K95" s="117"/>
      <c r="L95" s="167">
        <v>0</v>
      </c>
      <c r="M95" s="117"/>
      <c r="N95" s="117"/>
      <c r="O95" s="167">
        <v>0</v>
      </c>
      <c r="P95" s="117"/>
      <c r="Q95" s="138"/>
    </row>
    <row r="96" spans="2:17" x14ac:dyDescent="0.2">
      <c r="B96" s="147" t="s">
        <v>258</v>
      </c>
      <c r="C96" s="148" t="s">
        <v>259</v>
      </c>
      <c r="D96" s="117"/>
      <c r="E96" s="117"/>
      <c r="F96" s="117"/>
      <c r="G96" s="149">
        <v>3400</v>
      </c>
      <c r="H96" s="149">
        <v>1156.57</v>
      </c>
      <c r="I96" s="150">
        <v>0</v>
      </c>
      <c r="J96" s="117"/>
      <c r="K96" s="117"/>
      <c r="L96" s="150">
        <v>1156.57</v>
      </c>
      <c r="M96" s="117"/>
      <c r="N96" s="117"/>
      <c r="O96" s="150">
        <v>2243.4299999999998</v>
      </c>
      <c r="P96" s="117"/>
      <c r="Q96" s="151">
        <f t="shared" si="1"/>
        <v>34.016764705882352</v>
      </c>
    </row>
    <row r="97" spans="2:17" x14ac:dyDescent="0.2">
      <c r="B97" s="152" t="s">
        <v>260</v>
      </c>
      <c r="C97" s="153" t="s">
        <v>259</v>
      </c>
      <c r="D97" s="117"/>
      <c r="E97" s="117"/>
      <c r="F97" s="117"/>
      <c r="G97" s="154">
        <v>3400</v>
      </c>
      <c r="H97" s="154">
        <v>1156.57</v>
      </c>
      <c r="I97" s="155">
        <v>0</v>
      </c>
      <c r="J97" s="117"/>
      <c r="K97" s="117"/>
      <c r="L97" s="155">
        <v>1156.57</v>
      </c>
      <c r="M97" s="117"/>
      <c r="N97" s="117"/>
      <c r="O97" s="155">
        <v>2243.4299999999998</v>
      </c>
      <c r="P97" s="117"/>
      <c r="Q97" s="151">
        <f t="shared" si="1"/>
        <v>34.016764705882352</v>
      </c>
    </row>
    <row r="98" spans="2:17" x14ac:dyDescent="0.2">
      <c r="B98" s="156" t="s">
        <v>240</v>
      </c>
      <c r="C98" s="157" t="s">
        <v>241</v>
      </c>
      <c r="D98" s="117"/>
      <c r="E98" s="117"/>
      <c r="F98" s="117"/>
      <c r="G98" s="158">
        <v>3400</v>
      </c>
      <c r="H98" s="158">
        <v>1156.57</v>
      </c>
      <c r="I98" s="159">
        <v>0</v>
      </c>
      <c r="J98" s="117"/>
      <c r="K98" s="117"/>
      <c r="L98" s="159">
        <v>1156.57</v>
      </c>
      <c r="M98" s="117"/>
      <c r="N98" s="117"/>
      <c r="O98" s="159">
        <v>2243.4299999999998</v>
      </c>
      <c r="P98" s="117"/>
      <c r="Q98" s="138">
        <f t="shared" si="1"/>
        <v>34.016764705882352</v>
      </c>
    </row>
    <row r="99" spans="2:17" ht="22.5" x14ac:dyDescent="0.2">
      <c r="B99" s="160" t="s">
        <v>242</v>
      </c>
      <c r="C99" s="161" t="s">
        <v>243</v>
      </c>
      <c r="D99" s="117"/>
      <c r="E99" s="117"/>
      <c r="F99" s="117"/>
      <c r="G99" s="162">
        <v>1800</v>
      </c>
      <c r="H99" s="162">
        <v>971.45</v>
      </c>
      <c r="I99" s="163">
        <v>0</v>
      </c>
      <c r="J99" s="117"/>
      <c r="K99" s="117"/>
      <c r="L99" s="163">
        <v>971.45</v>
      </c>
      <c r="M99" s="117"/>
      <c r="N99" s="117"/>
      <c r="O99" s="163">
        <v>828.55</v>
      </c>
      <c r="P99" s="117"/>
      <c r="Q99" s="138">
        <f t="shared" si="1"/>
        <v>53.969444444444449</v>
      </c>
    </row>
    <row r="100" spans="2:17" x14ac:dyDescent="0.2">
      <c r="B100" s="164" t="s">
        <v>201</v>
      </c>
      <c r="C100" s="165" t="s">
        <v>200</v>
      </c>
      <c r="D100" s="117"/>
      <c r="E100" s="117"/>
      <c r="F100" s="117"/>
      <c r="G100" s="166">
        <v>400</v>
      </c>
      <c r="H100" s="166">
        <v>33.18</v>
      </c>
      <c r="I100" s="167">
        <v>0</v>
      </c>
      <c r="J100" s="117"/>
      <c r="K100" s="117"/>
      <c r="L100" s="167">
        <v>33.18</v>
      </c>
      <c r="M100" s="117"/>
      <c r="N100" s="117"/>
      <c r="O100" s="167">
        <v>366.82</v>
      </c>
      <c r="P100" s="117"/>
      <c r="Q100" s="138">
        <f t="shared" si="1"/>
        <v>8.2949999999999999</v>
      </c>
    </row>
    <row r="101" spans="2:17" x14ac:dyDescent="0.2">
      <c r="B101" s="164" t="s">
        <v>190</v>
      </c>
      <c r="C101" s="165" t="s">
        <v>189</v>
      </c>
      <c r="D101" s="117"/>
      <c r="E101" s="117"/>
      <c r="F101" s="117"/>
      <c r="G101" s="166">
        <v>400</v>
      </c>
      <c r="H101" s="166">
        <v>33.18</v>
      </c>
      <c r="I101" s="167">
        <v>0</v>
      </c>
      <c r="J101" s="117"/>
      <c r="K101" s="117"/>
      <c r="L101" s="167">
        <v>33.18</v>
      </c>
      <c r="M101" s="117"/>
      <c r="N101" s="117"/>
      <c r="O101" s="167">
        <v>366.82</v>
      </c>
      <c r="P101" s="117"/>
      <c r="Q101" s="138">
        <f t="shared" si="1"/>
        <v>8.2949999999999999</v>
      </c>
    </row>
    <row r="102" spans="2:17" x14ac:dyDescent="0.2">
      <c r="B102" s="164" t="s">
        <v>183</v>
      </c>
      <c r="C102" s="165" t="s">
        <v>182</v>
      </c>
      <c r="D102" s="117"/>
      <c r="E102" s="117"/>
      <c r="F102" s="117"/>
      <c r="G102" s="166">
        <v>1400</v>
      </c>
      <c r="H102" s="166">
        <v>938.27</v>
      </c>
      <c r="I102" s="167">
        <v>0</v>
      </c>
      <c r="J102" s="117"/>
      <c r="K102" s="117"/>
      <c r="L102" s="167">
        <v>938.27</v>
      </c>
      <c r="M102" s="117"/>
      <c r="N102" s="117"/>
      <c r="O102" s="167">
        <v>461.73</v>
      </c>
      <c r="P102" s="117"/>
      <c r="Q102" s="138">
        <f t="shared" si="1"/>
        <v>67.019285714285715</v>
      </c>
    </row>
    <row r="103" spans="2:17" x14ac:dyDescent="0.2">
      <c r="B103" s="164" t="s">
        <v>173</v>
      </c>
      <c r="C103" s="165" t="s">
        <v>172</v>
      </c>
      <c r="D103" s="117"/>
      <c r="E103" s="117"/>
      <c r="F103" s="117"/>
      <c r="G103" s="166">
        <v>300</v>
      </c>
      <c r="H103" s="166">
        <v>29.6</v>
      </c>
      <c r="I103" s="167">
        <v>0</v>
      </c>
      <c r="J103" s="117"/>
      <c r="K103" s="117"/>
      <c r="L103" s="167">
        <v>29.6</v>
      </c>
      <c r="M103" s="117"/>
      <c r="N103" s="117"/>
      <c r="O103" s="167">
        <v>270.39999999999998</v>
      </c>
      <c r="P103" s="117"/>
      <c r="Q103" s="138">
        <f t="shared" si="1"/>
        <v>9.8666666666666671</v>
      </c>
    </row>
    <row r="104" spans="2:17" x14ac:dyDescent="0.2">
      <c r="B104" s="164" t="s">
        <v>169</v>
      </c>
      <c r="C104" s="165" t="s">
        <v>168</v>
      </c>
      <c r="D104" s="117"/>
      <c r="E104" s="117"/>
      <c r="F104" s="117"/>
      <c r="G104" s="166">
        <v>1100</v>
      </c>
      <c r="H104" s="166">
        <v>0</v>
      </c>
      <c r="I104" s="167">
        <v>0</v>
      </c>
      <c r="J104" s="117"/>
      <c r="K104" s="117"/>
      <c r="L104" s="167">
        <v>0</v>
      </c>
      <c r="M104" s="117"/>
      <c r="N104" s="117"/>
      <c r="O104" s="167">
        <v>1100</v>
      </c>
      <c r="P104" s="117"/>
      <c r="Q104" s="138">
        <f t="shared" si="1"/>
        <v>0</v>
      </c>
    </row>
    <row r="105" spans="2:17" x14ac:dyDescent="0.2">
      <c r="B105" s="164" t="s">
        <v>167</v>
      </c>
      <c r="C105" s="165" t="s">
        <v>166</v>
      </c>
      <c r="D105" s="117"/>
      <c r="E105" s="117"/>
      <c r="F105" s="117"/>
      <c r="G105" s="166">
        <v>0</v>
      </c>
      <c r="H105" s="166">
        <v>0</v>
      </c>
      <c r="I105" s="167">
        <v>0</v>
      </c>
      <c r="J105" s="117"/>
      <c r="K105" s="117"/>
      <c r="L105" s="167">
        <v>0</v>
      </c>
      <c r="M105" s="117"/>
      <c r="N105" s="117"/>
      <c r="O105" s="167">
        <v>0</v>
      </c>
      <c r="P105" s="117"/>
      <c r="Q105" s="138"/>
    </row>
    <row r="106" spans="2:17" x14ac:dyDescent="0.2">
      <c r="B106" s="164" t="s">
        <v>143</v>
      </c>
      <c r="C106" s="165" t="s">
        <v>142</v>
      </c>
      <c r="D106" s="117"/>
      <c r="E106" s="117"/>
      <c r="F106" s="117"/>
      <c r="G106" s="166">
        <v>0</v>
      </c>
      <c r="H106" s="166">
        <v>199.08</v>
      </c>
      <c r="I106" s="167">
        <v>0</v>
      </c>
      <c r="J106" s="117"/>
      <c r="K106" s="117"/>
      <c r="L106" s="167">
        <v>199.08</v>
      </c>
      <c r="M106" s="117"/>
      <c r="N106" s="117"/>
      <c r="O106" s="167">
        <v>-199.08</v>
      </c>
      <c r="P106" s="117"/>
      <c r="Q106" s="138"/>
    </row>
    <row r="107" spans="2:17" x14ac:dyDescent="0.2">
      <c r="B107" s="164" t="s">
        <v>124</v>
      </c>
      <c r="C107" s="165" t="s">
        <v>123</v>
      </c>
      <c r="D107" s="117"/>
      <c r="E107" s="117"/>
      <c r="F107" s="117"/>
      <c r="G107" s="166">
        <v>0</v>
      </c>
      <c r="H107" s="166">
        <v>709.59</v>
      </c>
      <c r="I107" s="167">
        <v>0</v>
      </c>
      <c r="J107" s="117"/>
      <c r="K107" s="117"/>
      <c r="L107" s="167">
        <v>709.59</v>
      </c>
      <c r="M107" s="117"/>
      <c r="N107" s="117"/>
      <c r="O107" s="167">
        <v>-709.59</v>
      </c>
      <c r="P107" s="117"/>
      <c r="Q107" s="138"/>
    </row>
    <row r="108" spans="2:17" ht="22.5" x14ac:dyDescent="0.2">
      <c r="B108" s="160" t="s">
        <v>250</v>
      </c>
      <c r="C108" s="161" t="s">
        <v>251</v>
      </c>
      <c r="D108" s="117"/>
      <c r="E108" s="117"/>
      <c r="F108" s="117"/>
      <c r="G108" s="162">
        <v>1600</v>
      </c>
      <c r="H108" s="162">
        <v>185.12</v>
      </c>
      <c r="I108" s="163">
        <v>0</v>
      </c>
      <c r="J108" s="117"/>
      <c r="K108" s="117"/>
      <c r="L108" s="163">
        <v>185.12</v>
      </c>
      <c r="M108" s="117"/>
      <c r="N108" s="117"/>
      <c r="O108" s="163">
        <v>1414.88</v>
      </c>
      <c r="P108" s="117"/>
      <c r="Q108" s="138">
        <f t="shared" si="1"/>
        <v>11.57</v>
      </c>
    </row>
    <row r="109" spans="2:17" x14ac:dyDescent="0.2">
      <c r="B109" s="164" t="s">
        <v>93</v>
      </c>
      <c r="C109" s="165" t="s">
        <v>92</v>
      </c>
      <c r="D109" s="117"/>
      <c r="E109" s="117"/>
      <c r="F109" s="117"/>
      <c r="G109" s="166">
        <v>1600</v>
      </c>
      <c r="H109" s="166">
        <v>185.12</v>
      </c>
      <c r="I109" s="167">
        <v>0</v>
      </c>
      <c r="J109" s="117"/>
      <c r="K109" s="117"/>
      <c r="L109" s="167">
        <v>185.12</v>
      </c>
      <c r="M109" s="117"/>
      <c r="N109" s="117"/>
      <c r="O109" s="167">
        <v>1414.88</v>
      </c>
      <c r="P109" s="117"/>
      <c r="Q109" s="138">
        <f t="shared" si="1"/>
        <v>11.57</v>
      </c>
    </row>
    <row r="110" spans="2:17" x14ac:dyDescent="0.2">
      <c r="B110" s="164" t="s">
        <v>85</v>
      </c>
      <c r="C110" s="165" t="s">
        <v>84</v>
      </c>
      <c r="D110" s="117"/>
      <c r="E110" s="117"/>
      <c r="F110" s="117"/>
      <c r="G110" s="166">
        <v>0</v>
      </c>
      <c r="H110" s="166">
        <v>0</v>
      </c>
      <c r="I110" s="167">
        <v>0</v>
      </c>
      <c r="J110" s="117"/>
      <c r="K110" s="117"/>
      <c r="L110" s="167">
        <v>0</v>
      </c>
      <c r="M110" s="117"/>
      <c r="N110" s="117"/>
      <c r="O110" s="167">
        <v>0</v>
      </c>
      <c r="P110" s="117"/>
      <c r="Q110" s="138"/>
    </row>
    <row r="111" spans="2:17" x14ac:dyDescent="0.2">
      <c r="B111" s="164" t="s">
        <v>75</v>
      </c>
      <c r="C111" s="165" t="s">
        <v>74</v>
      </c>
      <c r="D111" s="117"/>
      <c r="E111" s="117"/>
      <c r="F111" s="117"/>
      <c r="G111" s="166">
        <v>1600</v>
      </c>
      <c r="H111" s="166">
        <v>185.12</v>
      </c>
      <c r="I111" s="167">
        <v>0</v>
      </c>
      <c r="J111" s="117"/>
      <c r="K111" s="117"/>
      <c r="L111" s="167">
        <v>185.12</v>
      </c>
      <c r="M111" s="117"/>
      <c r="N111" s="117"/>
      <c r="O111" s="167">
        <v>1414.88</v>
      </c>
      <c r="P111" s="117"/>
      <c r="Q111" s="138">
        <f t="shared" si="1"/>
        <v>11.57</v>
      </c>
    </row>
    <row r="112" spans="2:17" x14ac:dyDescent="0.2">
      <c r="B112" s="147" t="s">
        <v>261</v>
      </c>
      <c r="C112" s="148" t="s">
        <v>262</v>
      </c>
      <c r="D112" s="117"/>
      <c r="E112" s="117"/>
      <c r="F112" s="117"/>
      <c r="G112" s="149">
        <v>9600</v>
      </c>
      <c r="H112" s="149">
        <v>6089.9</v>
      </c>
      <c r="I112" s="150">
        <v>0</v>
      </c>
      <c r="J112" s="117"/>
      <c r="K112" s="117"/>
      <c r="L112" s="150">
        <v>6089.9</v>
      </c>
      <c r="M112" s="117"/>
      <c r="N112" s="117"/>
      <c r="O112" s="150">
        <v>3510.1</v>
      </c>
      <c r="P112" s="117"/>
      <c r="Q112" s="151">
        <f t="shared" si="1"/>
        <v>63.436458333333334</v>
      </c>
    </row>
    <row r="113" spans="2:17" x14ac:dyDescent="0.2">
      <c r="B113" s="152" t="s">
        <v>263</v>
      </c>
      <c r="C113" s="153" t="s">
        <v>264</v>
      </c>
      <c r="D113" s="117"/>
      <c r="E113" s="117"/>
      <c r="F113" s="117"/>
      <c r="G113" s="154">
        <v>9600</v>
      </c>
      <c r="H113" s="154">
        <v>6089.9</v>
      </c>
      <c r="I113" s="155">
        <v>0</v>
      </c>
      <c r="J113" s="117"/>
      <c r="K113" s="117"/>
      <c r="L113" s="155">
        <v>6089.9</v>
      </c>
      <c r="M113" s="117"/>
      <c r="N113" s="117"/>
      <c r="O113" s="155">
        <v>3510.1</v>
      </c>
      <c r="P113" s="117"/>
      <c r="Q113" s="151">
        <f t="shared" si="1"/>
        <v>63.436458333333334</v>
      </c>
    </row>
    <row r="114" spans="2:17" x14ac:dyDescent="0.2">
      <c r="B114" s="156" t="s">
        <v>240</v>
      </c>
      <c r="C114" s="157" t="s">
        <v>241</v>
      </c>
      <c r="D114" s="117"/>
      <c r="E114" s="117"/>
      <c r="F114" s="117"/>
      <c r="G114" s="158">
        <v>9600</v>
      </c>
      <c r="H114" s="158">
        <v>6089.9</v>
      </c>
      <c r="I114" s="159">
        <v>0</v>
      </c>
      <c r="J114" s="117"/>
      <c r="K114" s="117"/>
      <c r="L114" s="159">
        <v>6089.9</v>
      </c>
      <c r="M114" s="117"/>
      <c r="N114" s="117"/>
      <c r="O114" s="159">
        <v>3510.1</v>
      </c>
      <c r="P114" s="117"/>
      <c r="Q114" s="138">
        <f t="shared" si="1"/>
        <v>63.436458333333334</v>
      </c>
    </row>
    <row r="115" spans="2:17" ht="22.5" x14ac:dyDescent="0.2">
      <c r="B115" s="160" t="s">
        <v>242</v>
      </c>
      <c r="C115" s="161" t="s">
        <v>243</v>
      </c>
      <c r="D115" s="117"/>
      <c r="E115" s="117"/>
      <c r="F115" s="117"/>
      <c r="G115" s="162">
        <v>9600</v>
      </c>
      <c r="H115" s="162">
        <v>6089.9</v>
      </c>
      <c r="I115" s="163">
        <v>0</v>
      </c>
      <c r="J115" s="117"/>
      <c r="K115" s="117"/>
      <c r="L115" s="163">
        <v>6089.9</v>
      </c>
      <c r="M115" s="117"/>
      <c r="N115" s="117"/>
      <c r="O115" s="163">
        <v>3510.1</v>
      </c>
      <c r="P115" s="117"/>
      <c r="Q115" s="138">
        <f t="shared" si="1"/>
        <v>63.436458333333334</v>
      </c>
    </row>
    <row r="116" spans="2:17" x14ac:dyDescent="0.2">
      <c r="B116" s="164" t="s">
        <v>201</v>
      </c>
      <c r="C116" s="165" t="s">
        <v>200</v>
      </c>
      <c r="D116" s="117"/>
      <c r="E116" s="117"/>
      <c r="F116" s="117"/>
      <c r="G116" s="166">
        <v>400</v>
      </c>
      <c r="H116" s="166">
        <v>252.73</v>
      </c>
      <c r="I116" s="167">
        <v>0</v>
      </c>
      <c r="J116" s="117"/>
      <c r="K116" s="117"/>
      <c r="L116" s="167">
        <v>252.73</v>
      </c>
      <c r="M116" s="117"/>
      <c r="N116" s="117"/>
      <c r="O116" s="167">
        <v>147.27000000000001</v>
      </c>
      <c r="P116" s="117"/>
      <c r="Q116" s="138">
        <f t="shared" si="1"/>
        <v>63.182499999999997</v>
      </c>
    </row>
    <row r="117" spans="2:17" x14ac:dyDescent="0.2">
      <c r="B117" s="164" t="s">
        <v>190</v>
      </c>
      <c r="C117" s="165" t="s">
        <v>189</v>
      </c>
      <c r="D117" s="117"/>
      <c r="E117" s="117"/>
      <c r="F117" s="117"/>
      <c r="G117" s="166">
        <v>400</v>
      </c>
      <c r="H117" s="166">
        <v>252.73</v>
      </c>
      <c r="I117" s="167">
        <v>0</v>
      </c>
      <c r="J117" s="117"/>
      <c r="K117" s="117"/>
      <c r="L117" s="167">
        <v>252.73</v>
      </c>
      <c r="M117" s="117"/>
      <c r="N117" s="117"/>
      <c r="O117" s="167">
        <v>147.27000000000001</v>
      </c>
      <c r="P117" s="117"/>
      <c r="Q117" s="138">
        <f t="shared" si="1"/>
        <v>63.182499999999997</v>
      </c>
    </row>
    <row r="118" spans="2:17" x14ac:dyDescent="0.2">
      <c r="B118" s="164" t="s">
        <v>183</v>
      </c>
      <c r="C118" s="165" t="s">
        <v>182</v>
      </c>
      <c r="D118" s="117"/>
      <c r="E118" s="117"/>
      <c r="F118" s="117"/>
      <c r="G118" s="166">
        <v>9200</v>
      </c>
      <c r="H118" s="166">
        <v>5837.17</v>
      </c>
      <c r="I118" s="167">
        <v>0</v>
      </c>
      <c r="J118" s="117"/>
      <c r="K118" s="117"/>
      <c r="L118" s="167">
        <v>5837.17</v>
      </c>
      <c r="M118" s="117"/>
      <c r="N118" s="117"/>
      <c r="O118" s="167">
        <v>3362.83</v>
      </c>
      <c r="P118" s="117"/>
      <c r="Q118" s="138">
        <f t="shared" si="1"/>
        <v>63.447499999999998</v>
      </c>
    </row>
    <row r="119" spans="2:17" x14ac:dyDescent="0.2">
      <c r="B119" s="164" t="s">
        <v>179</v>
      </c>
      <c r="C119" s="165" t="s">
        <v>178</v>
      </c>
      <c r="D119" s="117"/>
      <c r="E119" s="117"/>
      <c r="F119" s="117"/>
      <c r="G119" s="166">
        <v>2600</v>
      </c>
      <c r="H119" s="166">
        <v>4352</v>
      </c>
      <c r="I119" s="167">
        <v>0</v>
      </c>
      <c r="J119" s="117"/>
      <c r="K119" s="117"/>
      <c r="L119" s="167">
        <v>4352</v>
      </c>
      <c r="M119" s="117"/>
      <c r="N119" s="117"/>
      <c r="O119" s="167">
        <v>-1752</v>
      </c>
      <c r="P119" s="117"/>
      <c r="Q119" s="138">
        <f t="shared" si="1"/>
        <v>167.38461538461539</v>
      </c>
    </row>
    <row r="120" spans="2:17" x14ac:dyDescent="0.2">
      <c r="B120" s="164" t="s">
        <v>143</v>
      </c>
      <c r="C120" s="165" t="s">
        <v>142</v>
      </c>
      <c r="D120" s="117"/>
      <c r="E120" s="117"/>
      <c r="F120" s="117"/>
      <c r="G120" s="166">
        <v>6600</v>
      </c>
      <c r="H120" s="166">
        <v>1475.55</v>
      </c>
      <c r="I120" s="167">
        <v>0</v>
      </c>
      <c r="J120" s="117"/>
      <c r="K120" s="117"/>
      <c r="L120" s="167">
        <v>1475.55</v>
      </c>
      <c r="M120" s="117"/>
      <c r="N120" s="117"/>
      <c r="O120" s="167">
        <v>5124.45</v>
      </c>
      <c r="P120" s="117"/>
      <c r="Q120" s="138">
        <f t="shared" si="1"/>
        <v>22.356818181818181</v>
      </c>
    </row>
    <row r="121" spans="2:17" x14ac:dyDescent="0.2">
      <c r="B121" s="164" t="s">
        <v>139</v>
      </c>
      <c r="C121" s="165" t="s">
        <v>138</v>
      </c>
      <c r="D121" s="117"/>
      <c r="E121" s="117"/>
      <c r="F121" s="117"/>
      <c r="G121" s="166">
        <v>0</v>
      </c>
      <c r="H121" s="166">
        <v>9.6199999999999992</v>
      </c>
      <c r="I121" s="167">
        <v>0</v>
      </c>
      <c r="J121" s="117"/>
      <c r="K121" s="117"/>
      <c r="L121" s="167">
        <v>9.6199999999999992</v>
      </c>
      <c r="M121" s="117"/>
      <c r="N121" s="117"/>
      <c r="O121" s="167">
        <v>-9.6199999999999992</v>
      </c>
      <c r="P121" s="117"/>
      <c r="Q121" s="138"/>
    </row>
    <row r="122" spans="2:17" x14ac:dyDescent="0.2">
      <c r="B122" s="147" t="s">
        <v>265</v>
      </c>
      <c r="C122" s="148" t="s">
        <v>266</v>
      </c>
      <c r="D122" s="117"/>
      <c r="E122" s="117"/>
      <c r="F122" s="117"/>
      <c r="G122" s="149">
        <v>1126000</v>
      </c>
      <c r="H122" s="149">
        <v>523784.36</v>
      </c>
      <c r="I122" s="150">
        <v>0</v>
      </c>
      <c r="J122" s="117"/>
      <c r="K122" s="117"/>
      <c r="L122" s="150">
        <v>523784.36</v>
      </c>
      <c r="M122" s="117"/>
      <c r="N122" s="117"/>
      <c r="O122" s="150">
        <v>602215.64</v>
      </c>
      <c r="P122" s="117"/>
      <c r="Q122" s="151">
        <f t="shared" si="1"/>
        <v>46.517261101243342</v>
      </c>
    </row>
    <row r="123" spans="2:17" x14ac:dyDescent="0.2">
      <c r="B123" s="152" t="s">
        <v>267</v>
      </c>
      <c r="C123" s="153" t="s">
        <v>268</v>
      </c>
      <c r="D123" s="117"/>
      <c r="E123" s="117"/>
      <c r="F123" s="117"/>
      <c r="G123" s="154">
        <v>1087400</v>
      </c>
      <c r="H123" s="154">
        <v>516655.47</v>
      </c>
      <c r="I123" s="155">
        <v>0</v>
      </c>
      <c r="J123" s="117"/>
      <c r="K123" s="117"/>
      <c r="L123" s="155">
        <v>516655.47</v>
      </c>
      <c r="M123" s="117"/>
      <c r="N123" s="117"/>
      <c r="O123" s="155">
        <v>570744.53</v>
      </c>
      <c r="P123" s="117"/>
      <c r="Q123" s="151">
        <f t="shared" si="1"/>
        <v>47.512917969468454</v>
      </c>
    </row>
    <row r="124" spans="2:17" x14ac:dyDescent="0.2">
      <c r="B124" s="156" t="s">
        <v>240</v>
      </c>
      <c r="C124" s="157" t="s">
        <v>241</v>
      </c>
      <c r="D124" s="117"/>
      <c r="E124" s="117"/>
      <c r="F124" s="117"/>
      <c r="G124" s="158">
        <v>1087400</v>
      </c>
      <c r="H124" s="158">
        <v>516655.47</v>
      </c>
      <c r="I124" s="159">
        <v>0</v>
      </c>
      <c r="J124" s="117"/>
      <c r="K124" s="117"/>
      <c r="L124" s="159">
        <v>516655.47</v>
      </c>
      <c r="M124" s="117"/>
      <c r="N124" s="117"/>
      <c r="O124" s="159">
        <v>570744.53</v>
      </c>
      <c r="P124" s="117"/>
      <c r="Q124" s="138">
        <f t="shared" si="1"/>
        <v>47.512917969468454</v>
      </c>
    </row>
    <row r="125" spans="2:17" ht="22.5" x14ac:dyDescent="0.2">
      <c r="B125" s="160" t="s">
        <v>242</v>
      </c>
      <c r="C125" s="161" t="s">
        <v>243</v>
      </c>
      <c r="D125" s="117"/>
      <c r="E125" s="117"/>
      <c r="F125" s="117"/>
      <c r="G125" s="162">
        <v>1080900</v>
      </c>
      <c r="H125" s="162">
        <v>509667.03</v>
      </c>
      <c r="I125" s="163">
        <v>0</v>
      </c>
      <c r="J125" s="117"/>
      <c r="K125" s="117"/>
      <c r="L125" s="163">
        <v>509667.03</v>
      </c>
      <c r="M125" s="117"/>
      <c r="N125" s="117"/>
      <c r="O125" s="163">
        <v>571232.97</v>
      </c>
      <c r="P125" s="117"/>
      <c r="Q125" s="138">
        <f t="shared" si="1"/>
        <v>47.152098251457119</v>
      </c>
    </row>
    <row r="126" spans="2:17" x14ac:dyDescent="0.2">
      <c r="B126" s="164" t="s">
        <v>201</v>
      </c>
      <c r="C126" s="165" t="s">
        <v>200</v>
      </c>
      <c r="D126" s="117"/>
      <c r="E126" s="117"/>
      <c r="F126" s="117"/>
      <c r="G126" s="166">
        <v>1060000</v>
      </c>
      <c r="H126" s="166">
        <v>506337.08</v>
      </c>
      <c r="I126" s="167">
        <v>0</v>
      </c>
      <c r="J126" s="117"/>
      <c r="K126" s="117"/>
      <c r="L126" s="167">
        <v>506337.08</v>
      </c>
      <c r="M126" s="117"/>
      <c r="N126" s="117"/>
      <c r="O126" s="167">
        <v>553662.92000000004</v>
      </c>
      <c r="P126" s="117"/>
      <c r="Q126" s="138">
        <f t="shared" si="1"/>
        <v>47.767649056603773</v>
      </c>
    </row>
    <row r="127" spans="2:17" x14ac:dyDescent="0.2">
      <c r="B127" s="164" t="s">
        <v>197</v>
      </c>
      <c r="C127" s="165" t="s">
        <v>196</v>
      </c>
      <c r="D127" s="117"/>
      <c r="E127" s="117"/>
      <c r="F127" s="117"/>
      <c r="G127" s="166">
        <v>850000</v>
      </c>
      <c r="H127" s="166">
        <v>400674.14</v>
      </c>
      <c r="I127" s="167">
        <v>0</v>
      </c>
      <c r="J127" s="117"/>
      <c r="K127" s="117"/>
      <c r="L127" s="167">
        <v>400674.14</v>
      </c>
      <c r="M127" s="117"/>
      <c r="N127" s="117"/>
      <c r="O127" s="167">
        <v>449325.86</v>
      </c>
      <c r="P127" s="117"/>
      <c r="Q127" s="138">
        <f t="shared" si="1"/>
        <v>47.138134117647063</v>
      </c>
    </row>
    <row r="128" spans="2:17" x14ac:dyDescent="0.2">
      <c r="B128" s="164" t="s">
        <v>195</v>
      </c>
      <c r="C128" s="165" t="s">
        <v>194</v>
      </c>
      <c r="D128" s="117"/>
      <c r="E128" s="117"/>
      <c r="F128" s="117"/>
      <c r="G128" s="166">
        <v>15000</v>
      </c>
      <c r="H128" s="166">
        <v>7859.28</v>
      </c>
      <c r="I128" s="167">
        <v>0</v>
      </c>
      <c r="J128" s="117"/>
      <c r="K128" s="117"/>
      <c r="L128" s="167">
        <v>7859.28</v>
      </c>
      <c r="M128" s="117"/>
      <c r="N128" s="117"/>
      <c r="O128" s="167">
        <v>7140.72</v>
      </c>
      <c r="P128" s="117"/>
      <c r="Q128" s="138">
        <f t="shared" si="1"/>
        <v>52.395199999999996</v>
      </c>
    </row>
    <row r="129" spans="2:17" x14ac:dyDescent="0.2">
      <c r="B129" s="164" t="s">
        <v>193</v>
      </c>
      <c r="C129" s="165" t="s">
        <v>192</v>
      </c>
      <c r="D129" s="117"/>
      <c r="E129" s="117"/>
      <c r="F129" s="117"/>
      <c r="G129" s="166">
        <v>25000</v>
      </c>
      <c r="H129" s="166">
        <v>12898.67</v>
      </c>
      <c r="I129" s="167">
        <v>0</v>
      </c>
      <c r="J129" s="117"/>
      <c r="K129" s="117"/>
      <c r="L129" s="167">
        <v>12898.67</v>
      </c>
      <c r="M129" s="117"/>
      <c r="N129" s="117"/>
      <c r="O129" s="167">
        <v>12101.33</v>
      </c>
      <c r="P129" s="117"/>
      <c r="Q129" s="138">
        <f t="shared" si="1"/>
        <v>51.594680000000004</v>
      </c>
    </row>
    <row r="130" spans="2:17" x14ac:dyDescent="0.2">
      <c r="B130" s="164" t="s">
        <v>190</v>
      </c>
      <c r="C130" s="165" t="s">
        <v>189</v>
      </c>
      <c r="D130" s="117"/>
      <c r="E130" s="117"/>
      <c r="F130" s="117"/>
      <c r="G130" s="166">
        <v>25000</v>
      </c>
      <c r="H130" s="166">
        <v>15359.33</v>
      </c>
      <c r="I130" s="167">
        <v>0</v>
      </c>
      <c r="J130" s="117"/>
      <c r="K130" s="117"/>
      <c r="L130" s="167">
        <v>15359.33</v>
      </c>
      <c r="M130" s="117"/>
      <c r="N130" s="117"/>
      <c r="O130" s="167">
        <v>9640.67</v>
      </c>
      <c r="P130" s="117"/>
      <c r="Q130" s="138">
        <f t="shared" si="1"/>
        <v>61.437319999999993</v>
      </c>
    </row>
    <row r="131" spans="2:17" x14ac:dyDescent="0.2">
      <c r="B131" s="164" t="s">
        <v>186</v>
      </c>
      <c r="C131" s="165" t="s">
        <v>185</v>
      </c>
      <c r="D131" s="117"/>
      <c r="E131" s="117"/>
      <c r="F131" s="117"/>
      <c r="G131" s="166">
        <v>145000</v>
      </c>
      <c r="H131" s="166">
        <v>69545.66</v>
      </c>
      <c r="I131" s="167">
        <v>0</v>
      </c>
      <c r="J131" s="117"/>
      <c r="K131" s="117"/>
      <c r="L131" s="167">
        <v>69545.66</v>
      </c>
      <c r="M131" s="117"/>
      <c r="N131" s="117"/>
      <c r="O131" s="167">
        <v>75454.34</v>
      </c>
      <c r="P131" s="117"/>
      <c r="Q131" s="138">
        <f t="shared" si="1"/>
        <v>47.962524137931041</v>
      </c>
    </row>
    <row r="132" spans="2:17" x14ac:dyDescent="0.2">
      <c r="B132" s="164" t="s">
        <v>183</v>
      </c>
      <c r="C132" s="165" t="s">
        <v>182</v>
      </c>
      <c r="D132" s="117"/>
      <c r="E132" s="117"/>
      <c r="F132" s="117"/>
      <c r="G132" s="166">
        <v>20900</v>
      </c>
      <c r="H132" s="166">
        <v>3329.95</v>
      </c>
      <c r="I132" s="167">
        <v>0</v>
      </c>
      <c r="J132" s="117"/>
      <c r="K132" s="117"/>
      <c r="L132" s="167">
        <v>3329.95</v>
      </c>
      <c r="M132" s="117"/>
      <c r="N132" s="117"/>
      <c r="O132" s="167">
        <v>17570.05</v>
      </c>
      <c r="P132" s="117"/>
      <c r="Q132" s="138">
        <f t="shared" si="1"/>
        <v>15.932775119617224</v>
      </c>
    </row>
    <row r="133" spans="2:17" x14ac:dyDescent="0.2">
      <c r="B133" s="164" t="s">
        <v>179</v>
      </c>
      <c r="C133" s="165" t="s">
        <v>178</v>
      </c>
      <c r="D133" s="117"/>
      <c r="E133" s="117"/>
      <c r="F133" s="117"/>
      <c r="G133" s="166">
        <v>0</v>
      </c>
      <c r="H133" s="166">
        <v>106.22</v>
      </c>
      <c r="I133" s="167">
        <v>0</v>
      </c>
      <c r="J133" s="117"/>
      <c r="K133" s="117"/>
      <c r="L133" s="167">
        <v>106.22</v>
      </c>
      <c r="M133" s="117"/>
      <c r="N133" s="117"/>
      <c r="O133" s="167">
        <v>-106.22</v>
      </c>
      <c r="P133" s="117"/>
      <c r="Q133" s="138"/>
    </row>
    <row r="134" spans="2:17" x14ac:dyDescent="0.2">
      <c r="B134" s="164" t="s">
        <v>177</v>
      </c>
      <c r="C134" s="165" t="s">
        <v>176</v>
      </c>
      <c r="D134" s="117"/>
      <c r="E134" s="117"/>
      <c r="F134" s="117"/>
      <c r="G134" s="166">
        <v>0</v>
      </c>
      <c r="H134" s="166">
        <v>0</v>
      </c>
      <c r="I134" s="167">
        <v>0</v>
      </c>
      <c r="J134" s="117"/>
      <c r="K134" s="117"/>
      <c r="L134" s="167">
        <v>0</v>
      </c>
      <c r="M134" s="117"/>
      <c r="N134" s="117"/>
      <c r="O134" s="167">
        <v>0</v>
      </c>
      <c r="P134" s="117"/>
      <c r="Q134" s="138"/>
    </row>
    <row r="135" spans="2:17" x14ac:dyDescent="0.2">
      <c r="B135" s="164" t="s">
        <v>169</v>
      </c>
      <c r="C135" s="165" t="s">
        <v>168</v>
      </c>
      <c r="D135" s="117"/>
      <c r="E135" s="117"/>
      <c r="F135" s="117"/>
      <c r="G135" s="166">
        <v>0</v>
      </c>
      <c r="H135" s="166">
        <v>105</v>
      </c>
      <c r="I135" s="167">
        <v>0</v>
      </c>
      <c r="J135" s="117"/>
      <c r="K135" s="117"/>
      <c r="L135" s="167">
        <v>105</v>
      </c>
      <c r="M135" s="117"/>
      <c r="N135" s="117"/>
      <c r="O135" s="167">
        <v>-105</v>
      </c>
      <c r="P135" s="117"/>
      <c r="Q135" s="138"/>
    </row>
    <row r="136" spans="2:17" x14ac:dyDescent="0.2">
      <c r="B136" s="164" t="s">
        <v>167</v>
      </c>
      <c r="C136" s="165" t="s">
        <v>166</v>
      </c>
      <c r="D136" s="117"/>
      <c r="E136" s="117"/>
      <c r="F136" s="117"/>
      <c r="G136" s="166">
        <v>0</v>
      </c>
      <c r="H136" s="166">
        <v>0</v>
      </c>
      <c r="I136" s="167">
        <v>0</v>
      </c>
      <c r="J136" s="117"/>
      <c r="K136" s="117"/>
      <c r="L136" s="167">
        <v>0</v>
      </c>
      <c r="M136" s="117"/>
      <c r="N136" s="117"/>
      <c r="O136" s="167">
        <v>0</v>
      </c>
      <c r="P136" s="117"/>
      <c r="Q136" s="138"/>
    </row>
    <row r="137" spans="2:17" x14ac:dyDescent="0.2">
      <c r="B137" s="164" t="s">
        <v>165</v>
      </c>
      <c r="C137" s="165" t="s">
        <v>164</v>
      </c>
      <c r="D137" s="117"/>
      <c r="E137" s="117"/>
      <c r="F137" s="117"/>
      <c r="G137" s="166">
        <v>0</v>
      </c>
      <c r="H137" s="166">
        <v>0</v>
      </c>
      <c r="I137" s="167">
        <v>0</v>
      </c>
      <c r="J137" s="117"/>
      <c r="K137" s="117"/>
      <c r="L137" s="167">
        <v>0</v>
      </c>
      <c r="M137" s="117"/>
      <c r="N137" s="117"/>
      <c r="O137" s="167">
        <v>0</v>
      </c>
      <c r="P137" s="117"/>
      <c r="Q137" s="138"/>
    </row>
    <row r="138" spans="2:17" x14ac:dyDescent="0.2">
      <c r="B138" s="164" t="s">
        <v>155</v>
      </c>
      <c r="C138" s="165" t="s">
        <v>154</v>
      </c>
      <c r="D138" s="117"/>
      <c r="E138" s="117"/>
      <c r="F138" s="117"/>
      <c r="G138" s="166">
        <v>0</v>
      </c>
      <c r="H138" s="166">
        <v>0</v>
      </c>
      <c r="I138" s="167">
        <v>0</v>
      </c>
      <c r="J138" s="117"/>
      <c r="K138" s="117"/>
      <c r="L138" s="167">
        <v>0</v>
      </c>
      <c r="M138" s="117"/>
      <c r="N138" s="117"/>
      <c r="O138" s="167">
        <v>0</v>
      </c>
      <c r="P138" s="117"/>
      <c r="Q138" s="138"/>
    </row>
    <row r="139" spans="2:17" x14ac:dyDescent="0.2">
      <c r="B139" s="164" t="s">
        <v>145</v>
      </c>
      <c r="C139" s="165" t="s">
        <v>144</v>
      </c>
      <c r="D139" s="117"/>
      <c r="E139" s="117"/>
      <c r="F139" s="117"/>
      <c r="G139" s="166">
        <v>0</v>
      </c>
      <c r="H139" s="166">
        <v>0</v>
      </c>
      <c r="I139" s="167">
        <v>0</v>
      </c>
      <c r="J139" s="117"/>
      <c r="K139" s="117"/>
      <c r="L139" s="167">
        <v>0</v>
      </c>
      <c r="M139" s="117"/>
      <c r="N139" s="117"/>
      <c r="O139" s="167">
        <v>0</v>
      </c>
      <c r="P139" s="117"/>
      <c r="Q139" s="138"/>
    </row>
    <row r="140" spans="2:17" x14ac:dyDescent="0.2">
      <c r="B140" s="164" t="s">
        <v>143</v>
      </c>
      <c r="C140" s="165" t="s">
        <v>142</v>
      </c>
      <c r="D140" s="117"/>
      <c r="E140" s="117"/>
      <c r="F140" s="117"/>
      <c r="G140" s="166">
        <v>0</v>
      </c>
      <c r="H140" s="166">
        <v>401.35</v>
      </c>
      <c r="I140" s="167">
        <v>0</v>
      </c>
      <c r="J140" s="117"/>
      <c r="K140" s="117"/>
      <c r="L140" s="167">
        <v>401.35</v>
      </c>
      <c r="M140" s="117"/>
      <c r="N140" s="117"/>
      <c r="O140" s="167">
        <v>-401.35</v>
      </c>
      <c r="P140" s="117"/>
      <c r="Q140" s="138"/>
    </row>
    <row r="141" spans="2:17" x14ac:dyDescent="0.2">
      <c r="B141" s="164" t="s">
        <v>132</v>
      </c>
      <c r="C141" s="165" t="s">
        <v>131</v>
      </c>
      <c r="D141" s="117"/>
      <c r="E141" s="117"/>
      <c r="F141" s="117"/>
      <c r="G141" s="166">
        <v>0</v>
      </c>
      <c r="H141" s="166">
        <v>0</v>
      </c>
      <c r="I141" s="167">
        <v>0</v>
      </c>
      <c r="J141" s="117"/>
      <c r="K141" s="117"/>
      <c r="L141" s="167">
        <v>0</v>
      </c>
      <c r="M141" s="117"/>
      <c r="N141" s="117"/>
      <c r="O141" s="167">
        <v>0</v>
      </c>
      <c r="P141" s="117"/>
      <c r="Q141" s="138"/>
    </row>
    <row r="142" spans="2:17" x14ac:dyDescent="0.2">
      <c r="B142" s="164" t="s">
        <v>128</v>
      </c>
      <c r="C142" s="165" t="s">
        <v>127</v>
      </c>
      <c r="D142" s="117"/>
      <c r="E142" s="117"/>
      <c r="F142" s="117"/>
      <c r="G142" s="166">
        <v>900</v>
      </c>
      <c r="H142" s="166">
        <v>0</v>
      </c>
      <c r="I142" s="167">
        <v>0</v>
      </c>
      <c r="J142" s="117"/>
      <c r="K142" s="117"/>
      <c r="L142" s="167">
        <v>0</v>
      </c>
      <c r="M142" s="117"/>
      <c r="N142" s="117"/>
      <c r="O142" s="167">
        <v>900</v>
      </c>
      <c r="P142" s="117"/>
      <c r="Q142" s="138">
        <f t="shared" ref="Q142:Q187" si="2">(H142/G142)*100</f>
        <v>0</v>
      </c>
    </row>
    <row r="143" spans="2:17" x14ac:dyDescent="0.2">
      <c r="B143" s="164" t="s">
        <v>126</v>
      </c>
      <c r="C143" s="165" t="s">
        <v>125</v>
      </c>
      <c r="D143" s="117"/>
      <c r="E143" s="117"/>
      <c r="F143" s="117"/>
      <c r="G143" s="166">
        <v>20000</v>
      </c>
      <c r="H143" s="166">
        <v>0</v>
      </c>
      <c r="I143" s="167">
        <v>0</v>
      </c>
      <c r="J143" s="117"/>
      <c r="K143" s="117"/>
      <c r="L143" s="167">
        <v>0</v>
      </c>
      <c r="M143" s="117"/>
      <c r="N143" s="117"/>
      <c r="O143" s="167">
        <v>20000</v>
      </c>
      <c r="P143" s="117"/>
      <c r="Q143" s="138">
        <f t="shared" si="2"/>
        <v>0</v>
      </c>
    </row>
    <row r="144" spans="2:17" x14ac:dyDescent="0.2">
      <c r="B144" s="164" t="s">
        <v>124</v>
      </c>
      <c r="C144" s="165" t="s">
        <v>123</v>
      </c>
      <c r="D144" s="117"/>
      <c r="E144" s="117"/>
      <c r="F144" s="117"/>
      <c r="G144" s="166">
        <v>0</v>
      </c>
      <c r="H144" s="166">
        <v>2717.38</v>
      </c>
      <c r="I144" s="167">
        <v>0</v>
      </c>
      <c r="J144" s="117"/>
      <c r="K144" s="117"/>
      <c r="L144" s="167">
        <v>2717.38</v>
      </c>
      <c r="M144" s="117"/>
      <c r="N144" s="117"/>
      <c r="O144" s="167">
        <v>-2717.38</v>
      </c>
      <c r="P144" s="117"/>
      <c r="Q144" s="138"/>
    </row>
    <row r="145" spans="2:17" ht="22.5" x14ac:dyDescent="0.2">
      <c r="B145" s="160" t="s">
        <v>250</v>
      </c>
      <c r="C145" s="161" t="s">
        <v>251</v>
      </c>
      <c r="D145" s="117"/>
      <c r="E145" s="117"/>
      <c r="F145" s="117"/>
      <c r="G145" s="162">
        <v>6500</v>
      </c>
      <c r="H145" s="162">
        <v>5734.8</v>
      </c>
      <c r="I145" s="163">
        <v>0</v>
      </c>
      <c r="J145" s="117"/>
      <c r="K145" s="117"/>
      <c r="L145" s="163">
        <v>5734.8</v>
      </c>
      <c r="M145" s="117"/>
      <c r="N145" s="117"/>
      <c r="O145" s="163">
        <v>765.2</v>
      </c>
      <c r="P145" s="117"/>
      <c r="Q145" s="138">
        <f t="shared" si="2"/>
        <v>88.227692307692308</v>
      </c>
    </row>
    <row r="146" spans="2:17" x14ac:dyDescent="0.2">
      <c r="B146" s="164" t="s">
        <v>93</v>
      </c>
      <c r="C146" s="165" t="s">
        <v>92</v>
      </c>
      <c r="D146" s="117"/>
      <c r="E146" s="117"/>
      <c r="F146" s="117"/>
      <c r="G146" s="166">
        <v>6500</v>
      </c>
      <c r="H146" s="166">
        <v>5734.8</v>
      </c>
      <c r="I146" s="167">
        <v>0</v>
      </c>
      <c r="J146" s="117"/>
      <c r="K146" s="117"/>
      <c r="L146" s="167">
        <v>5734.8</v>
      </c>
      <c r="M146" s="117"/>
      <c r="N146" s="117"/>
      <c r="O146" s="167">
        <v>765.2</v>
      </c>
      <c r="P146" s="117"/>
      <c r="Q146" s="138">
        <f t="shared" si="2"/>
        <v>88.227692307692308</v>
      </c>
    </row>
    <row r="147" spans="2:17" x14ac:dyDescent="0.2">
      <c r="B147" s="164" t="s">
        <v>85</v>
      </c>
      <c r="C147" s="165" t="s">
        <v>84</v>
      </c>
      <c r="D147" s="117"/>
      <c r="E147" s="117"/>
      <c r="F147" s="117"/>
      <c r="G147" s="166">
        <v>5800</v>
      </c>
      <c r="H147" s="166">
        <v>5734.8</v>
      </c>
      <c r="I147" s="167">
        <v>0</v>
      </c>
      <c r="J147" s="117"/>
      <c r="K147" s="117"/>
      <c r="L147" s="167">
        <v>5734.8</v>
      </c>
      <c r="M147" s="117"/>
      <c r="N147" s="117"/>
      <c r="O147" s="167">
        <v>65.2</v>
      </c>
      <c r="P147" s="117"/>
      <c r="Q147" s="138">
        <f t="shared" si="2"/>
        <v>98.875862068965532</v>
      </c>
    </row>
    <row r="148" spans="2:17" x14ac:dyDescent="0.2">
      <c r="B148" s="164" t="s">
        <v>75</v>
      </c>
      <c r="C148" s="165" t="s">
        <v>74</v>
      </c>
      <c r="D148" s="117"/>
      <c r="E148" s="117"/>
      <c r="F148" s="117"/>
      <c r="G148" s="166">
        <v>700</v>
      </c>
      <c r="H148" s="166">
        <v>0</v>
      </c>
      <c r="I148" s="167">
        <v>0</v>
      </c>
      <c r="J148" s="117"/>
      <c r="K148" s="117"/>
      <c r="L148" s="167">
        <v>0</v>
      </c>
      <c r="M148" s="117"/>
      <c r="N148" s="117"/>
      <c r="O148" s="167">
        <v>700</v>
      </c>
      <c r="P148" s="117"/>
      <c r="Q148" s="138">
        <f t="shared" si="2"/>
        <v>0</v>
      </c>
    </row>
    <row r="149" spans="2:17" ht="22.5" x14ac:dyDescent="0.2">
      <c r="B149" s="160" t="s">
        <v>254</v>
      </c>
      <c r="C149" s="161" t="s">
        <v>255</v>
      </c>
      <c r="D149" s="117"/>
      <c r="E149" s="117"/>
      <c r="F149" s="117"/>
      <c r="G149" s="162">
        <v>0</v>
      </c>
      <c r="H149" s="162">
        <v>1253.6400000000001</v>
      </c>
      <c r="I149" s="163">
        <v>0</v>
      </c>
      <c r="J149" s="117"/>
      <c r="K149" s="117"/>
      <c r="L149" s="163">
        <v>1253.6400000000001</v>
      </c>
      <c r="M149" s="117"/>
      <c r="N149" s="117"/>
      <c r="O149" s="163">
        <v>-1253.6400000000001</v>
      </c>
      <c r="P149" s="117"/>
      <c r="Q149" s="138"/>
    </row>
    <row r="150" spans="2:17" x14ac:dyDescent="0.2">
      <c r="B150" s="164" t="s">
        <v>104</v>
      </c>
      <c r="C150" s="165" t="s">
        <v>103</v>
      </c>
      <c r="D150" s="117"/>
      <c r="E150" s="117"/>
      <c r="F150" s="117"/>
      <c r="G150" s="166">
        <v>0</v>
      </c>
      <c r="H150" s="166">
        <v>1253.6400000000001</v>
      </c>
      <c r="I150" s="167">
        <v>0</v>
      </c>
      <c r="J150" s="117"/>
      <c r="K150" s="117"/>
      <c r="L150" s="167">
        <v>1253.6400000000001</v>
      </c>
      <c r="M150" s="117"/>
      <c r="N150" s="117"/>
      <c r="O150" s="167">
        <v>-1253.6400000000001</v>
      </c>
      <c r="P150" s="117"/>
      <c r="Q150" s="138"/>
    </row>
    <row r="151" spans="2:17" x14ac:dyDescent="0.2">
      <c r="B151" s="164" t="s">
        <v>101</v>
      </c>
      <c r="C151" s="165" t="s">
        <v>100</v>
      </c>
      <c r="D151" s="117"/>
      <c r="E151" s="117"/>
      <c r="F151" s="117"/>
      <c r="G151" s="166">
        <v>0</v>
      </c>
      <c r="H151" s="166">
        <v>1253.6400000000001</v>
      </c>
      <c r="I151" s="167">
        <v>0</v>
      </c>
      <c r="J151" s="117"/>
      <c r="K151" s="117"/>
      <c r="L151" s="167">
        <v>1253.6400000000001</v>
      </c>
      <c r="M151" s="117"/>
      <c r="N151" s="117"/>
      <c r="O151" s="167">
        <v>-1253.6400000000001</v>
      </c>
      <c r="P151" s="117"/>
      <c r="Q151" s="138"/>
    </row>
    <row r="152" spans="2:17" x14ac:dyDescent="0.2">
      <c r="B152" s="152" t="s">
        <v>269</v>
      </c>
      <c r="C152" s="153" t="s">
        <v>270</v>
      </c>
      <c r="D152" s="117"/>
      <c r="E152" s="117"/>
      <c r="F152" s="117"/>
      <c r="G152" s="154">
        <v>31600</v>
      </c>
      <c r="H152" s="154">
        <v>6169.09</v>
      </c>
      <c r="I152" s="155">
        <v>0</v>
      </c>
      <c r="J152" s="117"/>
      <c r="K152" s="117"/>
      <c r="L152" s="155">
        <v>6169.09</v>
      </c>
      <c r="M152" s="117"/>
      <c r="N152" s="117"/>
      <c r="O152" s="155">
        <v>25430.91</v>
      </c>
      <c r="P152" s="117"/>
      <c r="Q152" s="151">
        <f t="shared" si="2"/>
        <v>19.522436708860759</v>
      </c>
    </row>
    <row r="153" spans="2:17" x14ac:dyDescent="0.2">
      <c r="B153" s="156" t="s">
        <v>240</v>
      </c>
      <c r="C153" s="157" t="s">
        <v>241</v>
      </c>
      <c r="D153" s="117"/>
      <c r="E153" s="117"/>
      <c r="F153" s="117"/>
      <c r="G153" s="158">
        <v>31600</v>
      </c>
      <c r="H153" s="158">
        <v>6169.09</v>
      </c>
      <c r="I153" s="159">
        <v>0</v>
      </c>
      <c r="J153" s="117"/>
      <c r="K153" s="117"/>
      <c r="L153" s="159">
        <v>6169.09</v>
      </c>
      <c r="M153" s="117"/>
      <c r="N153" s="117"/>
      <c r="O153" s="159">
        <v>25430.91</v>
      </c>
      <c r="P153" s="117"/>
      <c r="Q153" s="138">
        <f t="shared" si="2"/>
        <v>19.522436708860759</v>
      </c>
    </row>
    <row r="154" spans="2:17" ht="22.5" x14ac:dyDescent="0.2">
      <c r="B154" s="160" t="s">
        <v>242</v>
      </c>
      <c r="C154" s="161" t="s">
        <v>243</v>
      </c>
      <c r="D154" s="117"/>
      <c r="E154" s="117"/>
      <c r="F154" s="117"/>
      <c r="G154" s="162">
        <v>31600</v>
      </c>
      <c r="H154" s="162">
        <v>6169.09</v>
      </c>
      <c r="I154" s="163">
        <v>0</v>
      </c>
      <c r="J154" s="117"/>
      <c r="K154" s="117"/>
      <c r="L154" s="163">
        <v>6169.09</v>
      </c>
      <c r="M154" s="117"/>
      <c r="N154" s="117"/>
      <c r="O154" s="163">
        <v>25430.91</v>
      </c>
      <c r="P154" s="117"/>
      <c r="Q154" s="138">
        <f t="shared" si="2"/>
        <v>19.522436708860759</v>
      </c>
    </row>
    <row r="155" spans="2:17" x14ac:dyDescent="0.2">
      <c r="B155" s="164" t="s">
        <v>201</v>
      </c>
      <c r="C155" s="165" t="s">
        <v>200</v>
      </c>
      <c r="D155" s="117"/>
      <c r="E155" s="117"/>
      <c r="F155" s="117"/>
      <c r="G155" s="166">
        <v>31000</v>
      </c>
      <c r="H155" s="166">
        <v>6009.05</v>
      </c>
      <c r="I155" s="167">
        <v>0</v>
      </c>
      <c r="J155" s="117"/>
      <c r="K155" s="117"/>
      <c r="L155" s="167">
        <v>6009.05</v>
      </c>
      <c r="M155" s="117"/>
      <c r="N155" s="117"/>
      <c r="O155" s="167">
        <v>24990.95</v>
      </c>
      <c r="P155" s="117"/>
      <c r="Q155" s="138">
        <f t="shared" si="2"/>
        <v>19.384032258064519</v>
      </c>
    </row>
    <row r="156" spans="2:17" x14ac:dyDescent="0.2">
      <c r="B156" s="164" t="s">
        <v>197</v>
      </c>
      <c r="C156" s="165" t="s">
        <v>196</v>
      </c>
      <c r="D156" s="117"/>
      <c r="E156" s="117"/>
      <c r="F156" s="117"/>
      <c r="G156" s="166">
        <v>26000</v>
      </c>
      <c r="H156" s="166">
        <v>5157.97</v>
      </c>
      <c r="I156" s="167">
        <v>0</v>
      </c>
      <c r="J156" s="117"/>
      <c r="K156" s="117"/>
      <c r="L156" s="167">
        <v>5157.97</v>
      </c>
      <c r="M156" s="117"/>
      <c r="N156" s="117"/>
      <c r="O156" s="167">
        <v>20842.03</v>
      </c>
      <c r="P156" s="117"/>
      <c r="Q156" s="138">
        <f t="shared" si="2"/>
        <v>19.838346153846153</v>
      </c>
    </row>
    <row r="157" spans="2:17" x14ac:dyDescent="0.2">
      <c r="B157" s="164" t="s">
        <v>186</v>
      </c>
      <c r="C157" s="165" t="s">
        <v>185</v>
      </c>
      <c r="D157" s="117"/>
      <c r="E157" s="117"/>
      <c r="F157" s="117"/>
      <c r="G157" s="166">
        <v>5000</v>
      </c>
      <c r="H157" s="166">
        <v>851.08</v>
      </c>
      <c r="I157" s="167">
        <v>0</v>
      </c>
      <c r="J157" s="117"/>
      <c r="K157" s="117"/>
      <c r="L157" s="167">
        <v>851.08</v>
      </c>
      <c r="M157" s="117"/>
      <c r="N157" s="117"/>
      <c r="O157" s="167">
        <v>4148.92</v>
      </c>
      <c r="P157" s="117"/>
      <c r="Q157" s="138">
        <f t="shared" si="2"/>
        <v>17.021599999999999</v>
      </c>
    </row>
    <row r="158" spans="2:17" x14ac:dyDescent="0.2">
      <c r="B158" s="164" t="s">
        <v>183</v>
      </c>
      <c r="C158" s="165" t="s">
        <v>182</v>
      </c>
      <c r="D158" s="117"/>
      <c r="E158" s="117"/>
      <c r="F158" s="117"/>
      <c r="G158" s="166">
        <v>600</v>
      </c>
      <c r="H158" s="166">
        <v>160.04</v>
      </c>
      <c r="I158" s="167">
        <v>0</v>
      </c>
      <c r="J158" s="117"/>
      <c r="K158" s="117"/>
      <c r="L158" s="167">
        <v>160.04</v>
      </c>
      <c r="M158" s="117"/>
      <c r="N158" s="117"/>
      <c r="O158" s="167">
        <v>439.96</v>
      </c>
      <c r="P158" s="117"/>
      <c r="Q158" s="138">
        <f t="shared" si="2"/>
        <v>26.673333333333332</v>
      </c>
    </row>
    <row r="159" spans="2:17" x14ac:dyDescent="0.2">
      <c r="B159" s="164" t="s">
        <v>177</v>
      </c>
      <c r="C159" s="165" t="s">
        <v>176</v>
      </c>
      <c r="D159" s="117"/>
      <c r="E159" s="117"/>
      <c r="F159" s="117"/>
      <c r="G159" s="166">
        <v>600</v>
      </c>
      <c r="H159" s="166">
        <v>160.04</v>
      </c>
      <c r="I159" s="167">
        <v>0</v>
      </c>
      <c r="J159" s="117"/>
      <c r="K159" s="117"/>
      <c r="L159" s="167">
        <v>160.04</v>
      </c>
      <c r="M159" s="117"/>
      <c r="N159" s="117"/>
      <c r="O159" s="167">
        <v>439.96</v>
      </c>
      <c r="P159" s="117"/>
      <c r="Q159" s="138">
        <f t="shared" si="2"/>
        <v>26.673333333333332</v>
      </c>
    </row>
    <row r="160" spans="2:17" x14ac:dyDescent="0.2">
      <c r="B160" s="152" t="s">
        <v>271</v>
      </c>
      <c r="C160" s="153" t="s">
        <v>272</v>
      </c>
      <c r="D160" s="117"/>
      <c r="E160" s="117"/>
      <c r="F160" s="117"/>
      <c r="G160" s="154">
        <v>7000</v>
      </c>
      <c r="H160" s="154">
        <v>959.8</v>
      </c>
      <c r="I160" s="155">
        <v>0</v>
      </c>
      <c r="J160" s="117"/>
      <c r="K160" s="117"/>
      <c r="L160" s="155">
        <v>959.8</v>
      </c>
      <c r="M160" s="117"/>
      <c r="N160" s="117"/>
      <c r="O160" s="155">
        <v>6040.2</v>
      </c>
      <c r="P160" s="117"/>
      <c r="Q160" s="151">
        <f t="shared" si="2"/>
        <v>13.711428571428572</v>
      </c>
    </row>
    <row r="161" spans="2:17" x14ac:dyDescent="0.2">
      <c r="B161" s="156" t="s">
        <v>240</v>
      </c>
      <c r="C161" s="157" t="s">
        <v>241</v>
      </c>
      <c r="D161" s="117"/>
      <c r="E161" s="117"/>
      <c r="F161" s="117"/>
      <c r="G161" s="158">
        <v>7000</v>
      </c>
      <c r="H161" s="158">
        <v>959.8</v>
      </c>
      <c r="I161" s="159">
        <v>0</v>
      </c>
      <c r="J161" s="117"/>
      <c r="K161" s="117"/>
      <c r="L161" s="159">
        <v>959.8</v>
      </c>
      <c r="M161" s="117"/>
      <c r="N161" s="117"/>
      <c r="O161" s="159">
        <v>6040.2</v>
      </c>
      <c r="P161" s="117"/>
      <c r="Q161" s="138">
        <f t="shared" si="2"/>
        <v>13.711428571428572</v>
      </c>
    </row>
    <row r="162" spans="2:17" ht="22.5" x14ac:dyDescent="0.2">
      <c r="B162" s="160" t="s">
        <v>242</v>
      </c>
      <c r="C162" s="161" t="s">
        <v>243</v>
      </c>
      <c r="D162" s="117"/>
      <c r="E162" s="117"/>
      <c r="F162" s="117"/>
      <c r="G162" s="162">
        <v>1000</v>
      </c>
      <c r="H162" s="162">
        <v>86.8</v>
      </c>
      <c r="I162" s="163">
        <v>0</v>
      </c>
      <c r="J162" s="117"/>
      <c r="K162" s="117"/>
      <c r="L162" s="163">
        <v>86.8</v>
      </c>
      <c r="M162" s="117"/>
      <c r="N162" s="117"/>
      <c r="O162" s="163">
        <v>913.2</v>
      </c>
      <c r="P162" s="117"/>
      <c r="Q162" s="138">
        <f t="shared" si="2"/>
        <v>8.68</v>
      </c>
    </row>
    <row r="163" spans="2:17" x14ac:dyDescent="0.2">
      <c r="B163" s="164" t="s">
        <v>183</v>
      </c>
      <c r="C163" s="165" t="s">
        <v>182</v>
      </c>
      <c r="D163" s="117"/>
      <c r="E163" s="117"/>
      <c r="F163" s="117"/>
      <c r="G163" s="166">
        <v>1000</v>
      </c>
      <c r="H163" s="166">
        <v>86.8</v>
      </c>
      <c r="I163" s="167">
        <v>0</v>
      </c>
      <c r="J163" s="117"/>
      <c r="K163" s="117"/>
      <c r="L163" s="167">
        <v>86.8</v>
      </c>
      <c r="M163" s="117"/>
      <c r="N163" s="117"/>
      <c r="O163" s="167">
        <v>913.2</v>
      </c>
      <c r="P163" s="117"/>
      <c r="Q163" s="138">
        <f t="shared" si="2"/>
        <v>8.68</v>
      </c>
    </row>
    <row r="164" spans="2:17" x14ac:dyDescent="0.2">
      <c r="B164" s="164" t="s">
        <v>179</v>
      </c>
      <c r="C164" s="165" t="s">
        <v>178</v>
      </c>
      <c r="D164" s="117"/>
      <c r="E164" s="117"/>
      <c r="F164" s="117"/>
      <c r="G164" s="166">
        <v>0</v>
      </c>
      <c r="H164" s="166">
        <v>0</v>
      </c>
      <c r="I164" s="167">
        <v>0</v>
      </c>
      <c r="J164" s="117"/>
      <c r="K164" s="117"/>
      <c r="L164" s="167">
        <v>0</v>
      </c>
      <c r="M164" s="117"/>
      <c r="N164" s="117"/>
      <c r="O164" s="167">
        <v>0</v>
      </c>
      <c r="P164" s="117"/>
      <c r="Q164" s="138"/>
    </row>
    <row r="165" spans="2:17" x14ac:dyDescent="0.2">
      <c r="B165" s="164" t="s">
        <v>169</v>
      </c>
      <c r="C165" s="165" t="s">
        <v>168</v>
      </c>
      <c r="D165" s="117"/>
      <c r="E165" s="117"/>
      <c r="F165" s="117"/>
      <c r="G165" s="166">
        <v>0</v>
      </c>
      <c r="H165" s="166">
        <v>0</v>
      </c>
      <c r="I165" s="167">
        <v>0</v>
      </c>
      <c r="J165" s="117"/>
      <c r="K165" s="117"/>
      <c r="L165" s="167">
        <v>0</v>
      </c>
      <c r="M165" s="117"/>
      <c r="N165" s="117"/>
      <c r="O165" s="167">
        <v>0</v>
      </c>
      <c r="P165" s="117"/>
      <c r="Q165" s="138"/>
    </row>
    <row r="166" spans="2:17" x14ac:dyDescent="0.2">
      <c r="B166" s="164" t="s">
        <v>147</v>
      </c>
      <c r="C166" s="165" t="s">
        <v>146</v>
      </c>
      <c r="D166" s="117"/>
      <c r="E166" s="117"/>
      <c r="F166" s="117"/>
      <c r="G166" s="166">
        <v>0</v>
      </c>
      <c r="H166" s="166">
        <v>0</v>
      </c>
      <c r="I166" s="167">
        <v>0</v>
      </c>
      <c r="J166" s="117"/>
      <c r="K166" s="117"/>
      <c r="L166" s="167">
        <v>0</v>
      </c>
      <c r="M166" s="117"/>
      <c r="N166" s="117"/>
      <c r="O166" s="167">
        <v>0</v>
      </c>
      <c r="P166" s="117"/>
      <c r="Q166" s="138"/>
    </row>
    <row r="167" spans="2:17" x14ac:dyDescent="0.2">
      <c r="B167" s="164" t="s">
        <v>143</v>
      </c>
      <c r="C167" s="165" t="s">
        <v>142</v>
      </c>
      <c r="D167" s="117"/>
      <c r="E167" s="117"/>
      <c r="F167" s="117"/>
      <c r="G167" s="166">
        <v>0</v>
      </c>
      <c r="H167" s="166">
        <v>0</v>
      </c>
      <c r="I167" s="167">
        <v>0</v>
      </c>
      <c r="J167" s="117"/>
      <c r="K167" s="117"/>
      <c r="L167" s="167">
        <v>0</v>
      </c>
      <c r="M167" s="117"/>
      <c r="N167" s="117"/>
      <c r="O167" s="167">
        <v>0</v>
      </c>
      <c r="P167" s="117"/>
      <c r="Q167" s="138"/>
    </row>
    <row r="168" spans="2:17" x14ac:dyDescent="0.2">
      <c r="B168" s="164" t="s">
        <v>141</v>
      </c>
      <c r="C168" s="165" t="s">
        <v>140</v>
      </c>
      <c r="D168" s="117"/>
      <c r="E168" s="117"/>
      <c r="F168" s="117"/>
      <c r="G168" s="166">
        <v>0</v>
      </c>
      <c r="H168" s="166">
        <v>0</v>
      </c>
      <c r="I168" s="167">
        <v>0</v>
      </c>
      <c r="J168" s="117"/>
      <c r="K168" s="117"/>
      <c r="L168" s="167">
        <v>0</v>
      </c>
      <c r="M168" s="117"/>
      <c r="N168" s="117"/>
      <c r="O168" s="167">
        <v>0</v>
      </c>
      <c r="P168" s="117"/>
      <c r="Q168" s="138"/>
    </row>
    <row r="169" spans="2:17" x14ac:dyDescent="0.2">
      <c r="B169" s="164" t="s">
        <v>132</v>
      </c>
      <c r="C169" s="165" t="s">
        <v>131</v>
      </c>
      <c r="D169" s="117"/>
      <c r="E169" s="117"/>
      <c r="F169" s="117"/>
      <c r="G169" s="166">
        <v>0</v>
      </c>
      <c r="H169" s="166">
        <v>86.8</v>
      </c>
      <c r="I169" s="167">
        <v>0</v>
      </c>
      <c r="J169" s="117"/>
      <c r="K169" s="117"/>
      <c r="L169" s="167">
        <v>86.8</v>
      </c>
      <c r="M169" s="117"/>
      <c r="N169" s="117"/>
      <c r="O169" s="167">
        <v>-86.8</v>
      </c>
      <c r="P169" s="117"/>
      <c r="Q169" s="138"/>
    </row>
    <row r="170" spans="2:17" x14ac:dyDescent="0.2">
      <c r="B170" s="164" t="s">
        <v>124</v>
      </c>
      <c r="C170" s="165" t="s">
        <v>123</v>
      </c>
      <c r="D170" s="117"/>
      <c r="E170" s="117"/>
      <c r="F170" s="117"/>
      <c r="G170" s="166">
        <v>1000</v>
      </c>
      <c r="H170" s="166">
        <v>0</v>
      </c>
      <c r="I170" s="167">
        <v>0</v>
      </c>
      <c r="J170" s="117"/>
      <c r="K170" s="117"/>
      <c r="L170" s="167">
        <v>0</v>
      </c>
      <c r="M170" s="117"/>
      <c r="N170" s="117"/>
      <c r="O170" s="167">
        <v>1000</v>
      </c>
      <c r="P170" s="117"/>
      <c r="Q170" s="138">
        <f t="shared" si="2"/>
        <v>0</v>
      </c>
    </row>
    <row r="171" spans="2:17" ht="22.5" x14ac:dyDescent="0.2">
      <c r="B171" s="160" t="s">
        <v>250</v>
      </c>
      <c r="C171" s="161" t="s">
        <v>251</v>
      </c>
      <c r="D171" s="117"/>
      <c r="E171" s="117"/>
      <c r="F171" s="117"/>
      <c r="G171" s="162">
        <v>6000</v>
      </c>
      <c r="H171" s="162">
        <v>873</v>
      </c>
      <c r="I171" s="163">
        <v>0</v>
      </c>
      <c r="J171" s="117"/>
      <c r="K171" s="117"/>
      <c r="L171" s="163">
        <v>873</v>
      </c>
      <c r="M171" s="117"/>
      <c r="N171" s="117"/>
      <c r="O171" s="163">
        <v>5127</v>
      </c>
      <c r="P171" s="117"/>
      <c r="Q171" s="138">
        <f t="shared" si="2"/>
        <v>14.549999999999999</v>
      </c>
    </row>
    <row r="172" spans="2:17" x14ac:dyDescent="0.2">
      <c r="B172" s="164" t="s">
        <v>93</v>
      </c>
      <c r="C172" s="165" t="s">
        <v>92</v>
      </c>
      <c r="D172" s="117"/>
      <c r="E172" s="117"/>
      <c r="F172" s="117"/>
      <c r="G172" s="166">
        <v>6000</v>
      </c>
      <c r="H172" s="166">
        <v>873</v>
      </c>
      <c r="I172" s="167">
        <v>0</v>
      </c>
      <c r="J172" s="117"/>
      <c r="K172" s="117"/>
      <c r="L172" s="167">
        <v>873</v>
      </c>
      <c r="M172" s="117"/>
      <c r="N172" s="117"/>
      <c r="O172" s="167">
        <v>5127</v>
      </c>
      <c r="P172" s="117"/>
      <c r="Q172" s="138">
        <f t="shared" si="2"/>
        <v>14.549999999999999</v>
      </c>
    </row>
    <row r="173" spans="2:17" x14ac:dyDescent="0.2">
      <c r="B173" s="164" t="s">
        <v>85</v>
      </c>
      <c r="C173" s="165" t="s">
        <v>84</v>
      </c>
      <c r="D173" s="117"/>
      <c r="E173" s="117"/>
      <c r="F173" s="117"/>
      <c r="G173" s="166">
        <v>6000</v>
      </c>
      <c r="H173" s="166">
        <v>873</v>
      </c>
      <c r="I173" s="167">
        <v>0</v>
      </c>
      <c r="J173" s="117"/>
      <c r="K173" s="117"/>
      <c r="L173" s="167">
        <v>873</v>
      </c>
      <c r="M173" s="117"/>
      <c r="N173" s="117"/>
      <c r="O173" s="167">
        <v>5127</v>
      </c>
      <c r="P173" s="117"/>
      <c r="Q173" s="138">
        <f t="shared" si="2"/>
        <v>14.549999999999999</v>
      </c>
    </row>
    <row r="174" spans="2:17" x14ac:dyDescent="0.2">
      <c r="B174" s="147" t="s">
        <v>273</v>
      </c>
      <c r="C174" s="148" t="s">
        <v>274</v>
      </c>
      <c r="D174" s="117"/>
      <c r="E174" s="117"/>
      <c r="F174" s="117"/>
      <c r="G174" s="149">
        <v>16700</v>
      </c>
      <c r="H174" s="149">
        <v>4137.16</v>
      </c>
      <c r="I174" s="150">
        <v>0</v>
      </c>
      <c r="J174" s="117"/>
      <c r="K174" s="117"/>
      <c r="L174" s="150">
        <v>4137.16</v>
      </c>
      <c r="M174" s="117"/>
      <c r="N174" s="117"/>
      <c r="O174" s="150">
        <v>12562.84</v>
      </c>
      <c r="P174" s="117"/>
      <c r="Q174" s="151">
        <f t="shared" si="2"/>
        <v>24.773413173652695</v>
      </c>
    </row>
    <row r="175" spans="2:17" x14ac:dyDescent="0.2">
      <c r="B175" s="152" t="s">
        <v>275</v>
      </c>
      <c r="C175" s="153" t="s">
        <v>274</v>
      </c>
      <c r="D175" s="117"/>
      <c r="E175" s="117"/>
      <c r="F175" s="117"/>
      <c r="G175" s="154">
        <v>16700</v>
      </c>
      <c r="H175" s="154">
        <v>4137.16</v>
      </c>
      <c r="I175" s="155">
        <v>0</v>
      </c>
      <c r="J175" s="117"/>
      <c r="K175" s="117"/>
      <c r="L175" s="155">
        <v>4137.16</v>
      </c>
      <c r="M175" s="117"/>
      <c r="N175" s="117"/>
      <c r="O175" s="155">
        <v>12562.84</v>
      </c>
      <c r="P175" s="117"/>
      <c r="Q175" s="151">
        <f t="shared" si="2"/>
        <v>24.773413173652695</v>
      </c>
    </row>
    <row r="176" spans="2:17" x14ac:dyDescent="0.2">
      <c r="B176" s="156" t="s">
        <v>240</v>
      </c>
      <c r="C176" s="157" t="s">
        <v>241</v>
      </c>
      <c r="D176" s="117"/>
      <c r="E176" s="117"/>
      <c r="F176" s="117"/>
      <c r="G176" s="158">
        <v>16700</v>
      </c>
      <c r="H176" s="158">
        <v>4137.16</v>
      </c>
      <c r="I176" s="159">
        <v>0</v>
      </c>
      <c r="J176" s="117"/>
      <c r="K176" s="117"/>
      <c r="L176" s="159">
        <v>4137.16</v>
      </c>
      <c r="M176" s="117"/>
      <c r="N176" s="117"/>
      <c r="O176" s="159">
        <v>12562.84</v>
      </c>
      <c r="P176" s="117"/>
      <c r="Q176" s="138">
        <f t="shared" si="2"/>
        <v>24.773413173652695</v>
      </c>
    </row>
    <row r="177" spans="2:17" ht="22.5" x14ac:dyDescent="0.2">
      <c r="B177" s="160" t="s">
        <v>242</v>
      </c>
      <c r="C177" s="161" t="s">
        <v>243</v>
      </c>
      <c r="D177" s="117"/>
      <c r="E177" s="117"/>
      <c r="F177" s="117"/>
      <c r="G177" s="162">
        <v>0</v>
      </c>
      <c r="H177" s="162">
        <v>4137.16</v>
      </c>
      <c r="I177" s="163">
        <v>0</v>
      </c>
      <c r="J177" s="117"/>
      <c r="K177" s="117"/>
      <c r="L177" s="163">
        <v>4137.16</v>
      </c>
      <c r="M177" s="117"/>
      <c r="N177" s="117"/>
      <c r="O177" s="163">
        <v>-4137.16</v>
      </c>
      <c r="P177" s="117"/>
      <c r="Q177" s="138"/>
    </row>
    <row r="178" spans="2:17" x14ac:dyDescent="0.2">
      <c r="B178" s="164" t="s">
        <v>183</v>
      </c>
      <c r="C178" s="165" t="s">
        <v>182</v>
      </c>
      <c r="D178" s="117"/>
      <c r="E178" s="117"/>
      <c r="F178" s="117"/>
      <c r="G178" s="166">
        <v>0</v>
      </c>
      <c r="H178" s="166">
        <v>4137.16</v>
      </c>
      <c r="I178" s="167">
        <v>0</v>
      </c>
      <c r="J178" s="117"/>
      <c r="K178" s="117"/>
      <c r="L178" s="167">
        <v>4137.16</v>
      </c>
      <c r="M178" s="117"/>
      <c r="N178" s="117"/>
      <c r="O178" s="167">
        <v>-4137.16</v>
      </c>
      <c r="P178" s="117"/>
      <c r="Q178" s="138"/>
    </row>
    <row r="179" spans="2:17" x14ac:dyDescent="0.2">
      <c r="B179" s="164" t="s">
        <v>179</v>
      </c>
      <c r="C179" s="165" t="s">
        <v>178</v>
      </c>
      <c r="D179" s="117"/>
      <c r="E179" s="117"/>
      <c r="F179" s="117"/>
      <c r="G179" s="166">
        <v>0</v>
      </c>
      <c r="H179" s="166">
        <v>1635.32</v>
      </c>
      <c r="I179" s="167">
        <v>0</v>
      </c>
      <c r="J179" s="117"/>
      <c r="K179" s="117"/>
      <c r="L179" s="167">
        <v>1635.32</v>
      </c>
      <c r="M179" s="117"/>
      <c r="N179" s="117"/>
      <c r="O179" s="167">
        <v>-1635.32</v>
      </c>
      <c r="P179" s="117"/>
      <c r="Q179" s="138"/>
    </row>
    <row r="180" spans="2:17" x14ac:dyDescent="0.2">
      <c r="B180" s="164" t="s">
        <v>169</v>
      </c>
      <c r="C180" s="165" t="s">
        <v>168</v>
      </c>
      <c r="D180" s="117"/>
      <c r="E180" s="117"/>
      <c r="F180" s="117"/>
      <c r="G180" s="166">
        <v>0</v>
      </c>
      <c r="H180" s="166">
        <v>80.290000000000006</v>
      </c>
      <c r="I180" s="167">
        <v>0</v>
      </c>
      <c r="J180" s="117"/>
      <c r="K180" s="117"/>
      <c r="L180" s="167">
        <v>80.290000000000006</v>
      </c>
      <c r="M180" s="117"/>
      <c r="N180" s="117"/>
      <c r="O180" s="167">
        <v>-80.290000000000006</v>
      </c>
      <c r="P180" s="117"/>
      <c r="Q180" s="138"/>
    </row>
    <row r="181" spans="2:17" x14ac:dyDescent="0.2">
      <c r="B181" s="164" t="s">
        <v>134</v>
      </c>
      <c r="C181" s="165" t="s">
        <v>133</v>
      </c>
      <c r="D181" s="117"/>
      <c r="E181" s="117"/>
      <c r="F181" s="117"/>
      <c r="G181" s="166">
        <v>0</v>
      </c>
      <c r="H181" s="166">
        <v>71.2</v>
      </c>
      <c r="I181" s="167">
        <v>0</v>
      </c>
      <c r="J181" s="117"/>
      <c r="K181" s="117"/>
      <c r="L181" s="167">
        <v>71.2</v>
      </c>
      <c r="M181" s="117"/>
      <c r="N181" s="117"/>
      <c r="O181" s="167">
        <v>-71.2</v>
      </c>
      <c r="P181" s="117"/>
      <c r="Q181" s="138"/>
    </row>
    <row r="182" spans="2:17" x14ac:dyDescent="0.2">
      <c r="B182" s="164" t="s">
        <v>124</v>
      </c>
      <c r="C182" s="165" t="s">
        <v>123</v>
      </c>
      <c r="D182" s="117"/>
      <c r="E182" s="117"/>
      <c r="F182" s="117"/>
      <c r="G182" s="166">
        <v>0</v>
      </c>
      <c r="H182" s="166">
        <v>2350.35</v>
      </c>
      <c r="I182" s="167">
        <v>0</v>
      </c>
      <c r="J182" s="117"/>
      <c r="K182" s="117"/>
      <c r="L182" s="167">
        <v>2350.35</v>
      </c>
      <c r="M182" s="117"/>
      <c r="N182" s="117"/>
      <c r="O182" s="167">
        <v>-2350.35</v>
      </c>
      <c r="P182" s="117"/>
      <c r="Q182" s="138"/>
    </row>
    <row r="183" spans="2:17" ht="22.5" x14ac:dyDescent="0.2">
      <c r="B183" s="160" t="s">
        <v>250</v>
      </c>
      <c r="C183" s="161" t="s">
        <v>251</v>
      </c>
      <c r="D183" s="117"/>
      <c r="E183" s="117"/>
      <c r="F183" s="117"/>
      <c r="G183" s="162">
        <v>16700</v>
      </c>
      <c r="H183" s="162">
        <v>0</v>
      </c>
      <c r="I183" s="163">
        <v>0</v>
      </c>
      <c r="J183" s="117"/>
      <c r="K183" s="117"/>
      <c r="L183" s="163">
        <v>0</v>
      </c>
      <c r="M183" s="117"/>
      <c r="N183" s="117"/>
      <c r="O183" s="163">
        <v>16700</v>
      </c>
      <c r="P183" s="117"/>
      <c r="Q183" s="138">
        <f t="shared" si="2"/>
        <v>0</v>
      </c>
    </row>
    <row r="184" spans="2:17" x14ac:dyDescent="0.2">
      <c r="B184" s="164" t="s">
        <v>93</v>
      </c>
      <c r="C184" s="165" t="s">
        <v>92</v>
      </c>
      <c r="D184" s="117"/>
      <c r="E184" s="117"/>
      <c r="F184" s="117"/>
      <c r="G184" s="166">
        <v>16700</v>
      </c>
      <c r="H184" s="166">
        <v>0</v>
      </c>
      <c r="I184" s="167">
        <v>0</v>
      </c>
      <c r="J184" s="117"/>
      <c r="K184" s="117"/>
      <c r="L184" s="167">
        <v>0</v>
      </c>
      <c r="M184" s="117"/>
      <c r="N184" s="117"/>
      <c r="O184" s="167">
        <v>16700</v>
      </c>
      <c r="P184" s="117"/>
      <c r="Q184" s="138">
        <f t="shared" si="2"/>
        <v>0</v>
      </c>
    </row>
    <row r="185" spans="2:17" x14ac:dyDescent="0.2">
      <c r="B185" s="164" t="s">
        <v>85</v>
      </c>
      <c r="C185" s="165" t="s">
        <v>84</v>
      </c>
      <c r="D185" s="117"/>
      <c r="E185" s="117"/>
      <c r="F185" s="117"/>
      <c r="G185" s="166">
        <v>700</v>
      </c>
      <c r="H185" s="166">
        <v>0</v>
      </c>
      <c r="I185" s="167">
        <v>0</v>
      </c>
      <c r="J185" s="117"/>
      <c r="K185" s="117"/>
      <c r="L185" s="167">
        <v>0</v>
      </c>
      <c r="M185" s="117"/>
      <c r="N185" s="117"/>
      <c r="O185" s="167">
        <v>700</v>
      </c>
      <c r="P185" s="117"/>
      <c r="Q185" s="138">
        <f t="shared" si="2"/>
        <v>0</v>
      </c>
    </row>
    <row r="186" spans="2:17" x14ac:dyDescent="0.2">
      <c r="B186" s="164" t="s">
        <v>83</v>
      </c>
      <c r="C186" s="165" t="s">
        <v>82</v>
      </c>
      <c r="D186" s="117"/>
      <c r="E186" s="117"/>
      <c r="F186" s="117"/>
      <c r="G186" s="166">
        <v>15000</v>
      </c>
      <c r="H186" s="166">
        <v>0</v>
      </c>
      <c r="I186" s="167">
        <v>0</v>
      </c>
      <c r="J186" s="117"/>
      <c r="K186" s="117"/>
      <c r="L186" s="167">
        <v>0</v>
      </c>
      <c r="M186" s="117"/>
      <c r="N186" s="117"/>
      <c r="O186" s="167">
        <v>15000</v>
      </c>
      <c r="P186" s="117"/>
      <c r="Q186" s="138">
        <f t="shared" si="2"/>
        <v>0</v>
      </c>
    </row>
    <row r="187" spans="2:17" x14ac:dyDescent="0.2">
      <c r="B187" s="164" t="s">
        <v>81</v>
      </c>
      <c r="C187" s="165" t="s">
        <v>80</v>
      </c>
      <c r="D187" s="117"/>
      <c r="E187" s="117"/>
      <c r="F187" s="117"/>
      <c r="G187" s="166">
        <v>1000</v>
      </c>
      <c r="H187" s="166">
        <v>0</v>
      </c>
      <c r="I187" s="167">
        <v>0</v>
      </c>
      <c r="J187" s="117"/>
      <c r="K187" s="117"/>
      <c r="L187" s="167">
        <v>0</v>
      </c>
      <c r="M187" s="117"/>
      <c r="N187" s="117"/>
      <c r="O187" s="167">
        <v>1000</v>
      </c>
      <c r="P187" s="117"/>
      <c r="Q187" s="138">
        <f t="shared" si="2"/>
        <v>0</v>
      </c>
    </row>
    <row r="188" spans="2:17" x14ac:dyDescent="0.2">
      <c r="B188" s="164" t="s">
        <v>79</v>
      </c>
      <c r="C188" s="165" t="s">
        <v>78</v>
      </c>
      <c r="D188" s="117"/>
      <c r="E188" s="117"/>
      <c r="F188" s="117"/>
      <c r="G188" s="166">
        <v>0</v>
      </c>
      <c r="H188" s="166">
        <v>0</v>
      </c>
      <c r="I188" s="167">
        <v>0</v>
      </c>
      <c r="J188" s="117"/>
      <c r="K188" s="117"/>
      <c r="L188" s="167">
        <v>0</v>
      </c>
      <c r="M188" s="117"/>
      <c r="N188" s="117"/>
      <c r="O188" s="167">
        <v>0</v>
      </c>
      <c r="P188" s="117"/>
      <c r="Q188" s="138"/>
    </row>
  </sheetData>
  <mergeCells count="722">
    <mergeCell ref="C188:F188"/>
    <mergeCell ref="I188:K188"/>
    <mergeCell ref="L188:N188"/>
    <mergeCell ref="O188:P188"/>
    <mergeCell ref="C186:F186"/>
    <mergeCell ref="I186:K186"/>
    <mergeCell ref="L186:N186"/>
    <mergeCell ref="O186:P186"/>
    <mergeCell ref="C187:F187"/>
    <mergeCell ref="I187:K187"/>
    <mergeCell ref="L187:N187"/>
    <mergeCell ref="O187:P187"/>
    <mergeCell ref="C184:F184"/>
    <mergeCell ref="I184:K184"/>
    <mergeCell ref="L184:N184"/>
    <mergeCell ref="O184:P184"/>
    <mergeCell ref="C185:F185"/>
    <mergeCell ref="I185:K185"/>
    <mergeCell ref="L185:N185"/>
    <mergeCell ref="O185:P185"/>
    <mergeCell ref="C182:F182"/>
    <mergeCell ref="I182:K182"/>
    <mergeCell ref="L182:N182"/>
    <mergeCell ref="O182:P182"/>
    <mergeCell ref="C183:F183"/>
    <mergeCell ref="I183:K183"/>
    <mergeCell ref="L183:N183"/>
    <mergeCell ref="O183:P183"/>
    <mergeCell ref="C180:F180"/>
    <mergeCell ref="I180:K180"/>
    <mergeCell ref="L180:N180"/>
    <mergeCell ref="O180:P180"/>
    <mergeCell ref="C181:F181"/>
    <mergeCell ref="I181:K181"/>
    <mergeCell ref="L181:N181"/>
    <mergeCell ref="O181:P181"/>
    <mergeCell ref="C178:F178"/>
    <mergeCell ref="I178:K178"/>
    <mergeCell ref="L178:N178"/>
    <mergeCell ref="O178:P178"/>
    <mergeCell ref="C179:F179"/>
    <mergeCell ref="I179:K179"/>
    <mergeCell ref="L179:N179"/>
    <mergeCell ref="O179:P179"/>
    <mergeCell ref="C176:F176"/>
    <mergeCell ref="I176:K176"/>
    <mergeCell ref="L176:N176"/>
    <mergeCell ref="O176:P176"/>
    <mergeCell ref="C177:F177"/>
    <mergeCell ref="I177:K177"/>
    <mergeCell ref="L177:N177"/>
    <mergeCell ref="O177:P177"/>
    <mergeCell ref="C174:F174"/>
    <mergeCell ref="I174:K174"/>
    <mergeCell ref="L174:N174"/>
    <mergeCell ref="O174:P174"/>
    <mergeCell ref="C175:F175"/>
    <mergeCell ref="I175:K175"/>
    <mergeCell ref="L175:N175"/>
    <mergeCell ref="O175:P175"/>
    <mergeCell ref="C172:F172"/>
    <mergeCell ref="I172:K172"/>
    <mergeCell ref="L172:N172"/>
    <mergeCell ref="O172:P172"/>
    <mergeCell ref="C173:F173"/>
    <mergeCell ref="I173:K173"/>
    <mergeCell ref="L173:N173"/>
    <mergeCell ref="O173:P173"/>
    <mergeCell ref="C170:F170"/>
    <mergeCell ref="I170:K170"/>
    <mergeCell ref="L170:N170"/>
    <mergeCell ref="O170:P170"/>
    <mergeCell ref="C171:F171"/>
    <mergeCell ref="I171:K171"/>
    <mergeCell ref="L171:N171"/>
    <mergeCell ref="O171:P171"/>
    <mergeCell ref="C168:F168"/>
    <mergeCell ref="I168:K168"/>
    <mergeCell ref="L168:N168"/>
    <mergeCell ref="O168:P168"/>
    <mergeCell ref="C169:F169"/>
    <mergeCell ref="I169:K169"/>
    <mergeCell ref="L169:N169"/>
    <mergeCell ref="O169:P169"/>
    <mergeCell ref="C166:F166"/>
    <mergeCell ref="I166:K166"/>
    <mergeCell ref="L166:N166"/>
    <mergeCell ref="O166:P166"/>
    <mergeCell ref="C167:F167"/>
    <mergeCell ref="I167:K167"/>
    <mergeCell ref="L167:N167"/>
    <mergeCell ref="O167:P167"/>
    <mergeCell ref="C164:F164"/>
    <mergeCell ref="I164:K164"/>
    <mergeCell ref="L164:N164"/>
    <mergeCell ref="O164:P164"/>
    <mergeCell ref="C165:F165"/>
    <mergeCell ref="I165:K165"/>
    <mergeCell ref="L165:N165"/>
    <mergeCell ref="O165:P165"/>
    <mergeCell ref="C162:F162"/>
    <mergeCell ref="I162:K162"/>
    <mergeCell ref="L162:N162"/>
    <mergeCell ref="O162:P162"/>
    <mergeCell ref="C163:F163"/>
    <mergeCell ref="I163:K163"/>
    <mergeCell ref="L163:N163"/>
    <mergeCell ref="O163:P163"/>
    <mergeCell ref="C160:F160"/>
    <mergeCell ref="I160:K160"/>
    <mergeCell ref="L160:N160"/>
    <mergeCell ref="O160:P160"/>
    <mergeCell ref="C161:F161"/>
    <mergeCell ref="I161:K161"/>
    <mergeCell ref="L161:N161"/>
    <mergeCell ref="O161:P161"/>
    <mergeCell ref="C158:F158"/>
    <mergeCell ref="I158:K158"/>
    <mergeCell ref="L158:N158"/>
    <mergeCell ref="O158:P158"/>
    <mergeCell ref="C159:F159"/>
    <mergeCell ref="I159:K159"/>
    <mergeCell ref="L159:N159"/>
    <mergeCell ref="O159:P159"/>
    <mergeCell ref="C156:F156"/>
    <mergeCell ref="I156:K156"/>
    <mergeCell ref="L156:N156"/>
    <mergeCell ref="O156:P156"/>
    <mergeCell ref="C157:F157"/>
    <mergeCell ref="I157:K157"/>
    <mergeCell ref="L157:N157"/>
    <mergeCell ref="O157:P157"/>
    <mergeCell ref="C154:F154"/>
    <mergeCell ref="I154:K154"/>
    <mergeCell ref="L154:N154"/>
    <mergeCell ref="O154:P154"/>
    <mergeCell ref="C155:F155"/>
    <mergeCell ref="I155:K155"/>
    <mergeCell ref="L155:N155"/>
    <mergeCell ref="O155:P155"/>
    <mergeCell ref="C152:F152"/>
    <mergeCell ref="I152:K152"/>
    <mergeCell ref="L152:N152"/>
    <mergeCell ref="O152:P152"/>
    <mergeCell ref="C153:F153"/>
    <mergeCell ref="I153:K153"/>
    <mergeCell ref="L153:N153"/>
    <mergeCell ref="O153:P153"/>
    <mergeCell ref="C150:F150"/>
    <mergeCell ref="I150:K150"/>
    <mergeCell ref="L150:N150"/>
    <mergeCell ref="O150:P150"/>
    <mergeCell ref="C151:F151"/>
    <mergeCell ref="I151:K151"/>
    <mergeCell ref="L151:N151"/>
    <mergeCell ref="O151:P151"/>
    <mergeCell ref="C148:F148"/>
    <mergeCell ref="I148:K148"/>
    <mergeCell ref="L148:N148"/>
    <mergeCell ref="O148:P148"/>
    <mergeCell ref="C149:F149"/>
    <mergeCell ref="I149:K149"/>
    <mergeCell ref="L149:N149"/>
    <mergeCell ref="O149:P149"/>
    <mergeCell ref="C146:F146"/>
    <mergeCell ref="I146:K146"/>
    <mergeCell ref="L146:N146"/>
    <mergeCell ref="O146:P146"/>
    <mergeCell ref="C147:F147"/>
    <mergeCell ref="I147:K147"/>
    <mergeCell ref="L147:N147"/>
    <mergeCell ref="O147:P147"/>
    <mergeCell ref="C144:F144"/>
    <mergeCell ref="I144:K144"/>
    <mergeCell ref="L144:N144"/>
    <mergeCell ref="O144:P144"/>
    <mergeCell ref="C145:F145"/>
    <mergeCell ref="I145:K145"/>
    <mergeCell ref="L145:N145"/>
    <mergeCell ref="O145:P145"/>
    <mergeCell ref="C142:F142"/>
    <mergeCell ref="I142:K142"/>
    <mergeCell ref="L142:N142"/>
    <mergeCell ref="O142:P142"/>
    <mergeCell ref="C143:F143"/>
    <mergeCell ref="I143:K143"/>
    <mergeCell ref="L143:N143"/>
    <mergeCell ref="O143:P143"/>
    <mergeCell ref="C140:F140"/>
    <mergeCell ref="I140:K140"/>
    <mergeCell ref="L140:N140"/>
    <mergeCell ref="O140:P140"/>
    <mergeCell ref="C141:F141"/>
    <mergeCell ref="I141:K141"/>
    <mergeCell ref="L141:N141"/>
    <mergeCell ref="O141:P141"/>
    <mergeCell ref="C138:F138"/>
    <mergeCell ref="I138:K138"/>
    <mergeCell ref="L138:N138"/>
    <mergeCell ref="O138:P138"/>
    <mergeCell ref="C139:F139"/>
    <mergeCell ref="I139:K139"/>
    <mergeCell ref="L139:N139"/>
    <mergeCell ref="O139:P139"/>
    <mergeCell ref="C136:F136"/>
    <mergeCell ref="I136:K136"/>
    <mergeCell ref="L136:N136"/>
    <mergeCell ref="O136:P136"/>
    <mergeCell ref="C137:F137"/>
    <mergeCell ref="I137:K137"/>
    <mergeCell ref="L137:N137"/>
    <mergeCell ref="O137:P137"/>
    <mergeCell ref="C134:F134"/>
    <mergeCell ref="I134:K134"/>
    <mergeCell ref="L134:N134"/>
    <mergeCell ref="O134:P134"/>
    <mergeCell ref="C135:F135"/>
    <mergeCell ref="I135:K135"/>
    <mergeCell ref="L135:N135"/>
    <mergeCell ref="O135:P135"/>
    <mergeCell ref="C132:F132"/>
    <mergeCell ref="I132:K132"/>
    <mergeCell ref="L132:N132"/>
    <mergeCell ref="O132:P132"/>
    <mergeCell ref="C133:F133"/>
    <mergeCell ref="I133:K133"/>
    <mergeCell ref="L133:N133"/>
    <mergeCell ref="O133:P133"/>
    <mergeCell ref="C130:F130"/>
    <mergeCell ref="I130:K130"/>
    <mergeCell ref="L130:N130"/>
    <mergeCell ref="O130:P130"/>
    <mergeCell ref="C131:F131"/>
    <mergeCell ref="I131:K131"/>
    <mergeCell ref="L131:N131"/>
    <mergeCell ref="O131:P131"/>
    <mergeCell ref="C128:F128"/>
    <mergeCell ref="I128:K128"/>
    <mergeCell ref="L128:N128"/>
    <mergeCell ref="O128:P128"/>
    <mergeCell ref="C129:F129"/>
    <mergeCell ref="I129:K129"/>
    <mergeCell ref="L129:N129"/>
    <mergeCell ref="O129:P129"/>
    <mergeCell ref="C126:F126"/>
    <mergeCell ref="I126:K126"/>
    <mergeCell ref="L126:N126"/>
    <mergeCell ref="O126:P126"/>
    <mergeCell ref="C127:F127"/>
    <mergeCell ref="I127:K127"/>
    <mergeCell ref="L127:N127"/>
    <mergeCell ref="O127:P127"/>
    <mergeCell ref="C124:F124"/>
    <mergeCell ref="I124:K124"/>
    <mergeCell ref="L124:N124"/>
    <mergeCell ref="O124:P124"/>
    <mergeCell ref="C125:F125"/>
    <mergeCell ref="I125:K125"/>
    <mergeCell ref="L125:N125"/>
    <mergeCell ref="O125:P125"/>
    <mergeCell ref="C122:F122"/>
    <mergeCell ref="I122:K122"/>
    <mergeCell ref="L122:N122"/>
    <mergeCell ref="O122:P122"/>
    <mergeCell ref="C123:F123"/>
    <mergeCell ref="I123:K123"/>
    <mergeCell ref="L123:N123"/>
    <mergeCell ref="O123:P123"/>
    <mergeCell ref="C120:F120"/>
    <mergeCell ref="I120:K120"/>
    <mergeCell ref="L120:N120"/>
    <mergeCell ref="O120:P120"/>
    <mergeCell ref="C121:F121"/>
    <mergeCell ref="I121:K121"/>
    <mergeCell ref="L121:N121"/>
    <mergeCell ref="O121:P121"/>
    <mergeCell ref="C118:F118"/>
    <mergeCell ref="I118:K118"/>
    <mergeCell ref="L118:N118"/>
    <mergeCell ref="O118:P118"/>
    <mergeCell ref="C119:F119"/>
    <mergeCell ref="I119:K119"/>
    <mergeCell ref="L119:N119"/>
    <mergeCell ref="O119:P119"/>
    <mergeCell ref="C116:F116"/>
    <mergeCell ref="I116:K116"/>
    <mergeCell ref="L116:N116"/>
    <mergeCell ref="O116:P116"/>
    <mergeCell ref="C117:F117"/>
    <mergeCell ref="I117:K117"/>
    <mergeCell ref="L117:N117"/>
    <mergeCell ref="O117:P117"/>
    <mergeCell ref="C114:F114"/>
    <mergeCell ref="I114:K114"/>
    <mergeCell ref="L114:N114"/>
    <mergeCell ref="O114:P114"/>
    <mergeCell ref="C115:F115"/>
    <mergeCell ref="I115:K115"/>
    <mergeCell ref="L115:N115"/>
    <mergeCell ref="O115:P115"/>
    <mergeCell ref="C112:F112"/>
    <mergeCell ref="I112:K112"/>
    <mergeCell ref="L112:N112"/>
    <mergeCell ref="O112:P112"/>
    <mergeCell ref="C113:F113"/>
    <mergeCell ref="I113:K113"/>
    <mergeCell ref="L113:N113"/>
    <mergeCell ref="O113:P113"/>
    <mergeCell ref="C110:F110"/>
    <mergeCell ref="I110:K110"/>
    <mergeCell ref="L110:N110"/>
    <mergeCell ref="O110:P110"/>
    <mergeCell ref="C111:F111"/>
    <mergeCell ref="I111:K111"/>
    <mergeCell ref="L111:N111"/>
    <mergeCell ref="O111:P111"/>
    <mergeCell ref="C108:F108"/>
    <mergeCell ref="I108:K108"/>
    <mergeCell ref="L108:N108"/>
    <mergeCell ref="O108:P108"/>
    <mergeCell ref="C109:F109"/>
    <mergeCell ref="I109:K109"/>
    <mergeCell ref="L109:N109"/>
    <mergeCell ref="O109:P109"/>
    <mergeCell ref="C106:F106"/>
    <mergeCell ref="I106:K106"/>
    <mergeCell ref="L106:N106"/>
    <mergeCell ref="O106:P106"/>
    <mergeCell ref="C107:F107"/>
    <mergeCell ref="I107:K107"/>
    <mergeCell ref="L107:N107"/>
    <mergeCell ref="O107:P107"/>
    <mergeCell ref="C104:F104"/>
    <mergeCell ref="I104:K104"/>
    <mergeCell ref="L104:N104"/>
    <mergeCell ref="O104:P104"/>
    <mergeCell ref="C105:F105"/>
    <mergeCell ref="I105:K105"/>
    <mergeCell ref="L105:N105"/>
    <mergeCell ref="O105:P105"/>
    <mergeCell ref="C102:F102"/>
    <mergeCell ref="I102:K102"/>
    <mergeCell ref="L102:N102"/>
    <mergeCell ref="O102:P102"/>
    <mergeCell ref="C103:F103"/>
    <mergeCell ref="I103:K103"/>
    <mergeCell ref="L103:N103"/>
    <mergeCell ref="O103:P103"/>
    <mergeCell ref="C100:F100"/>
    <mergeCell ref="I100:K100"/>
    <mergeCell ref="L100:N100"/>
    <mergeCell ref="O100:P100"/>
    <mergeCell ref="C101:F101"/>
    <mergeCell ref="I101:K101"/>
    <mergeCell ref="L101:N101"/>
    <mergeCell ref="O101:P101"/>
    <mergeCell ref="C98:F98"/>
    <mergeCell ref="I98:K98"/>
    <mergeCell ref="L98:N98"/>
    <mergeCell ref="O98:P98"/>
    <mergeCell ref="C99:F99"/>
    <mergeCell ref="I99:K99"/>
    <mergeCell ref="L99:N99"/>
    <mergeCell ref="O99:P99"/>
    <mergeCell ref="C96:F96"/>
    <mergeCell ref="I96:K96"/>
    <mergeCell ref="L96:N96"/>
    <mergeCell ref="O96:P96"/>
    <mergeCell ref="C97:F97"/>
    <mergeCell ref="I97:K97"/>
    <mergeCell ref="L97:N97"/>
    <mergeCell ref="O97:P97"/>
    <mergeCell ref="C94:F94"/>
    <mergeCell ref="I94:K94"/>
    <mergeCell ref="L94:N94"/>
    <mergeCell ref="O94:P94"/>
    <mergeCell ref="C95:F95"/>
    <mergeCell ref="I95:K95"/>
    <mergeCell ref="L95:N95"/>
    <mergeCell ref="O95:P95"/>
    <mergeCell ref="C92:F92"/>
    <mergeCell ref="I92:K92"/>
    <mergeCell ref="L92:N92"/>
    <mergeCell ref="O92:P92"/>
    <mergeCell ref="C93:F93"/>
    <mergeCell ref="I93:K93"/>
    <mergeCell ref="L93:N93"/>
    <mergeCell ref="O93:P93"/>
    <mergeCell ref="C90:F90"/>
    <mergeCell ref="I90:K90"/>
    <mergeCell ref="L90:N90"/>
    <mergeCell ref="O90:P90"/>
    <mergeCell ref="C91:F91"/>
    <mergeCell ref="I91:K91"/>
    <mergeCell ref="L91:N91"/>
    <mergeCell ref="O91:P91"/>
    <mergeCell ref="C88:F88"/>
    <mergeCell ref="I88:K88"/>
    <mergeCell ref="L88:N88"/>
    <mergeCell ref="O88:P88"/>
    <mergeCell ref="C89:F89"/>
    <mergeCell ref="I89:K89"/>
    <mergeCell ref="L89:N89"/>
    <mergeCell ref="O89:P89"/>
    <mergeCell ref="C86:F86"/>
    <mergeCell ref="I86:K86"/>
    <mergeCell ref="L86:N86"/>
    <mergeCell ref="O86:P86"/>
    <mergeCell ref="C87:F87"/>
    <mergeCell ref="I87:K87"/>
    <mergeCell ref="L87:N87"/>
    <mergeCell ref="O87:P87"/>
    <mergeCell ref="C84:F84"/>
    <mergeCell ref="I84:K84"/>
    <mergeCell ref="L84:N84"/>
    <mergeCell ref="O84:P84"/>
    <mergeCell ref="C85:F85"/>
    <mergeCell ref="I85:K85"/>
    <mergeCell ref="L85:N85"/>
    <mergeCell ref="O85:P85"/>
    <mergeCell ref="C82:F82"/>
    <mergeCell ref="I82:K82"/>
    <mergeCell ref="L82:N82"/>
    <mergeCell ref="O82:P82"/>
    <mergeCell ref="C83:F83"/>
    <mergeCell ref="I83:K83"/>
    <mergeCell ref="L83:N83"/>
    <mergeCell ref="O83:P83"/>
    <mergeCell ref="C80:F80"/>
    <mergeCell ref="I80:K80"/>
    <mergeCell ref="L80:N80"/>
    <mergeCell ref="O80:P80"/>
    <mergeCell ref="C81:F81"/>
    <mergeCell ref="I81:K81"/>
    <mergeCell ref="L81:N81"/>
    <mergeCell ref="O81:P81"/>
    <mergeCell ref="C78:F78"/>
    <mergeCell ref="I78:K78"/>
    <mergeCell ref="L78:N78"/>
    <mergeCell ref="O78:P78"/>
    <mergeCell ref="C79:F79"/>
    <mergeCell ref="I79:K79"/>
    <mergeCell ref="L79:N79"/>
    <mergeCell ref="O79:P79"/>
    <mergeCell ref="C76:F76"/>
    <mergeCell ref="I76:K76"/>
    <mergeCell ref="L76:N76"/>
    <mergeCell ref="O76:P76"/>
    <mergeCell ref="C77:F77"/>
    <mergeCell ref="I77:K77"/>
    <mergeCell ref="L77:N77"/>
    <mergeCell ref="O77:P77"/>
    <mergeCell ref="C74:F74"/>
    <mergeCell ref="I74:K74"/>
    <mergeCell ref="L74:N74"/>
    <mergeCell ref="O74:P74"/>
    <mergeCell ref="C75:F75"/>
    <mergeCell ref="I75:K75"/>
    <mergeCell ref="L75:N75"/>
    <mergeCell ref="O75:P75"/>
    <mergeCell ref="C72:F72"/>
    <mergeCell ref="I72:K72"/>
    <mergeCell ref="L72:N72"/>
    <mergeCell ref="O72:P72"/>
    <mergeCell ref="C73:F73"/>
    <mergeCell ref="I73:K73"/>
    <mergeCell ref="L73:N73"/>
    <mergeCell ref="O73:P73"/>
    <mergeCell ref="C70:F70"/>
    <mergeCell ref="I70:K70"/>
    <mergeCell ref="L70:N70"/>
    <mergeCell ref="O70:P70"/>
    <mergeCell ref="C71:F71"/>
    <mergeCell ref="I71:K71"/>
    <mergeCell ref="L71:N71"/>
    <mergeCell ref="O71:P71"/>
    <mergeCell ref="C68:F68"/>
    <mergeCell ref="I68:K68"/>
    <mergeCell ref="L68:N68"/>
    <mergeCell ref="O68:P68"/>
    <mergeCell ref="C69:F69"/>
    <mergeCell ref="I69:K69"/>
    <mergeCell ref="L69:N69"/>
    <mergeCell ref="O69:P69"/>
    <mergeCell ref="C66:F66"/>
    <mergeCell ref="I66:K66"/>
    <mergeCell ref="L66:N66"/>
    <mergeCell ref="O66:P66"/>
    <mergeCell ref="C67:F67"/>
    <mergeCell ref="I67:K67"/>
    <mergeCell ref="L67:N67"/>
    <mergeCell ref="O67:P67"/>
    <mergeCell ref="C64:F64"/>
    <mergeCell ref="I64:K64"/>
    <mergeCell ref="L64:N64"/>
    <mergeCell ref="O64:P64"/>
    <mergeCell ref="C65:F65"/>
    <mergeCell ref="I65:K65"/>
    <mergeCell ref="L65:N65"/>
    <mergeCell ref="O65:P65"/>
    <mergeCell ref="C62:F62"/>
    <mergeCell ref="I62:K62"/>
    <mergeCell ref="L62:N62"/>
    <mergeCell ref="O62:P62"/>
    <mergeCell ref="C63:F63"/>
    <mergeCell ref="I63:K63"/>
    <mergeCell ref="L63:N63"/>
    <mergeCell ref="O63:P63"/>
    <mergeCell ref="C60:F60"/>
    <mergeCell ref="I60:K60"/>
    <mergeCell ref="L60:N60"/>
    <mergeCell ref="O60:P60"/>
    <mergeCell ref="C61:F61"/>
    <mergeCell ref="I61:K61"/>
    <mergeCell ref="L61:N61"/>
    <mergeCell ref="O61:P61"/>
    <mergeCell ref="C58:F58"/>
    <mergeCell ref="I58:K58"/>
    <mergeCell ref="L58:N58"/>
    <mergeCell ref="O58:P58"/>
    <mergeCell ref="C59:F59"/>
    <mergeCell ref="I59:K59"/>
    <mergeCell ref="L59:N59"/>
    <mergeCell ref="O59:P59"/>
    <mergeCell ref="C56:F56"/>
    <mergeCell ref="I56:K56"/>
    <mergeCell ref="L56:N56"/>
    <mergeCell ref="O56:P56"/>
    <mergeCell ref="C57:F57"/>
    <mergeCell ref="I57:K57"/>
    <mergeCell ref="L57:N57"/>
    <mergeCell ref="O57:P57"/>
    <mergeCell ref="C54:F54"/>
    <mergeCell ref="I54:K54"/>
    <mergeCell ref="L54:N54"/>
    <mergeCell ref="O54:P54"/>
    <mergeCell ref="C55:F55"/>
    <mergeCell ref="I55:K55"/>
    <mergeCell ref="L55:N55"/>
    <mergeCell ref="O55:P55"/>
    <mergeCell ref="C52:F52"/>
    <mergeCell ref="I52:K52"/>
    <mergeCell ref="L52:N52"/>
    <mergeCell ref="O52:P52"/>
    <mergeCell ref="C53:F53"/>
    <mergeCell ref="I53:K53"/>
    <mergeCell ref="L53:N53"/>
    <mergeCell ref="O53:P53"/>
    <mergeCell ref="C50:F50"/>
    <mergeCell ref="I50:K50"/>
    <mergeCell ref="L50:N50"/>
    <mergeCell ref="O50:P50"/>
    <mergeCell ref="C51:F51"/>
    <mergeCell ref="I51:K51"/>
    <mergeCell ref="L51:N51"/>
    <mergeCell ref="O51:P51"/>
    <mergeCell ref="C48:F48"/>
    <mergeCell ref="I48:K48"/>
    <mergeCell ref="L48:N48"/>
    <mergeCell ref="O48:P48"/>
    <mergeCell ref="C49:F49"/>
    <mergeCell ref="I49:K49"/>
    <mergeCell ref="L49:N49"/>
    <mergeCell ref="O49:P49"/>
    <mergeCell ref="C46:F46"/>
    <mergeCell ref="I46:K46"/>
    <mergeCell ref="L46:N46"/>
    <mergeCell ref="O46:P46"/>
    <mergeCell ref="C47:F47"/>
    <mergeCell ref="I47:K47"/>
    <mergeCell ref="L47:N47"/>
    <mergeCell ref="O47:P47"/>
    <mergeCell ref="C44:F44"/>
    <mergeCell ref="I44:K44"/>
    <mergeCell ref="L44:N44"/>
    <mergeCell ref="O44:P44"/>
    <mergeCell ref="C45:F45"/>
    <mergeCell ref="I45:K45"/>
    <mergeCell ref="L45:N45"/>
    <mergeCell ref="O45:P45"/>
    <mergeCell ref="C42:F42"/>
    <mergeCell ref="I42:K42"/>
    <mergeCell ref="L42:N42"/>
    <mergeCell ref="O42:P42"/>
    <mergeCell ref="C43:F43"/>
    <mergeCell ref="I43:K43"/>
    <mergeCell ref="L43:N43"/>
    <mergeCell ref="O43:P43"/>
    <mergeCell ref="C40:F40"/>
    <mergeCell ref="I40:K40"/>
    <mergeCell ref="L40:N40"/>
    <mergeCell ref="O40:P40"/>
    <mergeCell ref="C41:F41"/>
    <mergeCell ref="I41:K41"/>
    <mergeCell ref="L41:N41"/>
    <mergeCell ref="O41:P41"/>
    <mergeCell ref="C38:F38"/>
    <mergeCell ref="I38:K38"/>
    <mergeCell ref="L38:N38"/>
    <mergeCell ref="O38:P38"/>
    <mergeCell ref="C39:F39"/>
    <mergeCell ref="I39:K39"/>
    <mergeCell ref="L39:N39"/>
    <mergeCell ref="O39:P39"/>
    <mergeCell ref="C36:F36"/>
    <mergeCell ref="I36:K36"/>
    <mergeCell ref="L36:N36"/>
    <mergeCell ref="O36:P36"/>
    <mergeCell ref="C37:F37"/>
    <mergeCell ref="I37:K37"/>
    <mergeCell ref="L37:N37"/>
    <mergeCell ref="O37:P37"/>
    <mergeCell ref="C34:F34"/>
    <mergeCell ref="I34:K34"/>
    <mergeCell ref="L34:N34"/>
    <mergeCell ref="O34:P34"/>
    <mergeCell ref="C35:F35"/>
    <mergeCell ref="I35:K35"/>
    <mergeCell ref="L35:N35"/>
    <mergeCell ref="O35:P35"/>
    <mergeCell ref="C32:F32"/>
    <mergeCell ref="I32:K32"/>
    <mergeCell ref="L32:N32"/>
    <mergeCell ref="O32:P32"/>
    <mergeCell ref="C33:F33"/>
    <mergeCell ref="I33:K33"/>
    <mergeCell ref="L33:N33"/>
    <mergeCell ref="O33:P33"/>
    <mergeCell ref="C30:F30"/>
    <mergeCell ref="I30:K30"/>
    <mergeCell ref="L30:N30"/>
    <mergeCell ref="O30:P30"/>
    <mergeCell ref="C31:F31"/>
    <mergeCell ref="I31:K31"/>
    <mergeCell ref="L31:N31"/>
    <mergeCell ref="O31:P31"/>
    <mergeCell ref="C28:F28"/>
    <mergeCell ref="I28:K28"/>
    <mergeCell ref="L28:N28"/>
    <mergeCell ref="O28:P28"/>
    <mergeCell ref="C29:F29"/>
    <mergeCell ref="I29:K29"/>
    <mergeCell ref="L29:N29"/>
    <mergeCell ref="O29:P29"/>
    <mergeCell ref="C26:F26"/>
    <mergeCell ref="I26:K26"/>
    <mergeCell ref="L26:N26"/>
    <mergeCell ref="O26:P26"/>
    <mergeCell ref="C27:F27"/>
    <mergeCell ref="I27:K27"/>
    <mergeCell ref="L27:N27"/>
    <mergeCell ref="O27:P27"/>
    <mergeCell ref="C24:F24"/>
    <mergeCell ref="I24:K24"/>
    <mergeCell ref="L24:N24"/>
    <mergeCell ref="O24:P24"/>
    <mergeCell ref="C25:F25"/>
    <mergeCell ref="I25:K25"/>
    <mergeCell ref="L25:N25"/>
    <mergeCell ref="O25:P25"/>
    <mergeCell ref="C22:F22"/>
    <mergeCell ref="I22:K22"/>
    <mergeCell ref="L22:N22"/>
    <mergeCell ref="O22:P22"/>
    <mergeCell ref="C23:F23"/>
    <mergeCell ref="I23:K23"/>
    <mergeCell ref="L23:N23"/>
    <mergeCell ref="O23:P23"/>
    <mergeCell ref="C20:F20"/>
    <mergeCell ref="I20:K20"/>
    <mergeCell ref="L20:N20"/>
    <mergeCell ref="O20:P20"/>
    <mergeCell ref="C21:F21"/>
    <mergeCell ref="I21:K21"/>
    <mergeCell ref="L21:N21"/>
    <mergeCell ref="O21:P21"/>
    <mergeCell ref="C18:F18"/>
    <mergeCell ref="I18:K18"/>
    <mergeCell ref="L18:N18"/>
    <mergeCell ref="O18:P18"/>
    <mergeCell ref="C19:F19"/>
    <mergeCell ref="I19:K19"/>
    <mergeCell ref="L19:N19"/>
    <mergeCell ref="O19:P19"/>
    <mergeCell ref="C16:F16"/>
    <mergeCell ref="I16:K16"/>
    <mergeCell ref="L16:N16"/>
    <mergeCell ref="O16:P16"/>
    <mergeCell ref="C17:F17"/>
    <mergeCell ref="I17:K17"/>
    <mergeCell ref="L17:N17"/>
    <mergeCell ref="O17:P17"/>
    <mergeCell ref="C14:F14"/>
    <mergeCell ref="I14:K14"/>
    <mergeCell ref="L14:N14"/>
    <mergeCell ref="O14:P14"/>
    <mergeCell ref="C15:F15"/>
    <mergeCell ref="I15:K15"/>
    <mergeCell ref="L15:N15"/>
    <mergeCell ref="O15:P15"/>
    <mergeCell ref="C12:F12"/>
    <mergeCell ref="I12:K12"/>
    <mergeCell ref="L12:N12"/>
    <mergeCell ref="O12:P12"/>
    <mergeCell ref="C13:F13"/>
    <mergeCell ref="I13:K13"/>
    <mergeCell ref="L13:N13"/>
    <mergeCell ref="O13:P13"/>
    <mergeCell ref="B10:F10"/>
    <mergeCell ref="I10:K10"/>
    <mergeCell ref="L10:N10"/>
    <mergeCell ref="O10:P10"/>
    <mergeCell ref="C11:F11"/>
    <mergeCell ref="I11:K11"/>
    <mergeCell ref="L11:N11"/>
    <mergeCell ref="O11:P11"/>
    <mergeCell ref="B2:F3"/>
    <mergeCell ref="J3:L4"/>
    <mergeCell ref="N3:O4"/>
    <mergeCell ref="B4:E5"/>
    <mergeCell ref="B6:D6"/>
    <mergeCell ref="D8:J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showGridLines="0" workbookViewId="0">
      <pane ySplit="1" topLeftCell="A65" activePane="bottomLeft" state="frozenSplit"/>
      <selection pane="bottomLeft" activeCell="G18" sqref="G18"/>
    </sheetView>
  </sheetViews>
  <sheetFormatPr defaultRowHeight="12.75" x14ac:dyDescent="0.2"/>
  <cols>
    <col min="1" max="1" width="7" style="83" customWidth="1"/>
    <col min="2" max="2" width="14.28515625" style="83" customWidth="1"/>
    <col min="3" max="3" width="67.28515625" style="83" customWidth="1"/>
    <col min="4" max="4" width="13" style="83" customWidth="1"/>
    <col min="5" max="5" width="12.140625" style="83" customWidth="1"/>
    <col min="6" max="6" width="12.42578125" style="83" customWidth="1"/>
    <col min="7" max="7" width="12.140625" style="83" bestFit="1" customWidth="1"/>
    <col min="8" max="8" width="12.7109375" style="83" customWidth="1"/>
    <col min="9" max="9" width="11" style="83" customWidth="1"/>
    <col min="10" max="10" width="12.42578125" style="83" customWidth="1"/>
    <col min="11" max="16384" width="9.140625" style="83"/>
  </cols>
  <sheetData>
    <row r="1" spans="1:11" x14ac:dyDescent="0.2">
      <c r="A1" s="96" t="s">
        <v>0</v>
      </c>
      <c r="B1" s="85"/>
      <c r="C1" s="85"/>
    </row>
    <row r="2" spans="1:11" x14ac:dyDescent="0.2">
      <c r="A2" s="96" t="s">
        <v>1</v>
      </c>
      <c r="B2" s="85"/>
      <c r="C2" s="85"/>
    </row>
    <row r="3" spans="1:11" x14ac:dyDescent="0.2">
      <c r="A3" s="96" t="s">
        <v>2</v>
      </c>
      <c r="B3" s="85"/>
      <c r="C3" s="85"/>
    </row>
    <row r="4" spans="1:11" ht="18" customHeight="1" thickBot="1" x14ac:dyDescent="0.25">
      <c r="C4" s="95" t="s">
        <v>308</v>
      </c>
      <c r="D4" s="85"/>
      <c r="E4" s="85"/>
      <c r="F4" s="85"/>
    </row>
    <row r="5" spans="1:11" ht="43.5" customHeight="1" thickTop="1" thickBot="1" x14ac:dyDescent="0.25">
      <c r="A5" s="187" t="s">
        <v>72</v>
      </c>
      <c r="B5" s="92"/>
      <c r="C5" s="92"/>
      <c r="D5" s="186" t="s">
        <v>24</v>
      </c>
      <c r="E5" s="186" t="s">
        <v>25</v>
      </c>
      <c r="F5" s="190" t="s">
        <v>4</v>
      </c>
      <c r="G5" s="186" t="s">
        <v>5</v>
      </c>
      <c r="H5" s="186" t="s">
        <v>6</v>
      </c>
      <c r="I5" s="88" t="s">
        <v>26</v>
      </c>
      <c r="J5" s="87" t="s">
        <v>27</v>
      </c>
    </row>
    <row r="6" spans="1:11" ht="14.25" thickTop="1" thickBot="1" x14ac:dyDescent="0.25">
      <c r="A6" s="186" t="s">
        <v>7</v>
      </c>
      <c r="B6" s="187" t="s">
        <v>8</v>
      </c>
      <c r="C6" s="187"/>
      <c r="D6" s="186"/>
      <c r="E6" s="186" t="s">
        <v>11</v>
      </c>
      <c r="F6" s="186" t="s">
        <v>9</v>
      </c>
      <c r="G6" s="186" t="s">
        <v>12</v>
      </c>
      <c r="H6" s="186" t="s">
        <v>13</v>
      </c>
      <c r="I6" s="170"/>
      <c r="J6" s="170"/>
    </row>
    <row r="7" spans="1:11" ht="13.5" thickTop="1" x14ac:dyDescent="0.2">
      <c r="A7" s="184"/>
      <c r="B7" s="203" t="s">
        <v>14</v>
      </c>
      <c r="C7" s="203"/>
      <c r="D7" s="182">
        <f>D8+D32</f>
        <v>509501.41084345337</v>
      </c>
      <c r="E7" s="182">
        <f>E8+E32</f>
        <v>553407.91999999993</v>
      </c>
      <c r="F7" s="182">
        <f>F8+F32</f>
        <v>1540220</v>
      </c>
      <c r="G7" s="182">
        <f>G8+G32</f>
        <v>553407.91999999993</v>
      </c>
      <c r="H7" s="182">
        <f>H8+H32</f>
        <v>986812.08000000007</v>
      </c>
      <c r="I7" s="180">
        <f>(E7/D7)*100</f>
        <v>108.61754417595459</v>
      </c>
      <c r="J7" s="179">
        <f>(E7/F7)*100</f>
        <v>35.930446299879229</v>
      </c>
      <c r="K7" s="83" t="s">
        <v>286</v>
      </c>
    </row>
    <row r="8" spans="1:11" x14ac:dyDescent="0.2">
      <c r="A8" s="177" t="s">
        <v>15</v>
      </c>
      <c r="B8" s="202" t="s">
        <v>16</v>
      </c>
      <c r="C8" s="201"/>
      <c r="D8" s="173">
        <f>D9+D16+D19+D22+D28</f>
        <v>501317.36545225291</v>
      </c>
      <c r="E8" s="173">
        <f>E9+E16+E19+E22+E28</f>
        <v>553407.91999999993</v>
      </c>
      <c r="F8" s="173">
        <f>F9+F16+F19+F22+F28</f>
        <v>1506220</v>
      </c>
      <c r="G8" s="173">
        <f>G9+G16+G19+G22+G28</f>
        <v>553407.91999999993</v>
      </c>
      <c r="H8" s="199">
        <f>H9+H16+H19+H22+H28</f>
        <v>952812.08000000007</v>
      </c>
      <c r="I8" s="171">
        <f>(E8/D8)*100</f>
        <v>110.39073412123967</v>
      </c>
      <c r="J8" s="170">
        <f>(E8/F8)*100</f>
        <v>36.741506552827602</v>
      </c>
      <c r="K8" s="83" t="s">
        <v>292</v>
      </c>
    </row>
    <row r="9" spans="1:11" x14ac:dyDescent="0.2">
      <c r="A9" s="177" t="s">
        <v>70</v>
      </c>
      <c r="B9" s="202" t="s">
        <v>69</v>
      </c>
      <c r="C9" s="201"/>
      <c r="D9" s="173">
        <f>D10+D12</f>
        <v>455949.75645364652</v>
      </c>
      <c r="E9" s="173">
        <f>E10+E12</f>
        <v>509482.98</v>
      </c>
      <c r="F9" s="173">
        <f>F10+F12</f>
        <v>1098600</v>
      </c>
      <c r="G9" s="173">
        <f>G10+G12</f>
        <v>509482.98</v>
      </c>
      <c r="H9" s="199">
        <f>H10+H12</f>
        <v>589117.02</v>
      </c>
      <c r="I9" s="171">
        <f>(E9/D9)*100</f>
        <v>111.74103567084499</v>
      </c>
      <c r="J9" s="170">
        <f>(E9/F9)*100</f>
        <v>46.375658110322227</v>
      </c>
    </row>
    <row r="10" spans="1:11" x14ac:dyDescent="0.2">
      <c r="A10" s="177" t="s">
        <v>68</v>
      </c>
      <c r="B10" s="202" t="s">
        <v>67</v>
      </c>
      <c r="C10" s="201"/>
      <c r="D10" s="173">
        <f>D11</f>
        <v>0</v>
      </c>
      <c r="E10" s="173">
        <f>E11</f>
        <v>0</v>
      </c>
      <c r="F10" s="173">
        <f>F11</f>
        <v>17600</v>
      </c>
      <c r="G10" s="173">
        <f>G11</f>
        <v>0</v>
      </c>
      <c r="H10" s="199">
        <f>H11</f>
        <v>17600</v>
      </c>
      <c r="I10" s="171"/>
      <c r="J10" s="170">
        <f>(E10/F10)*100</f>
        <v>0</v>
      </c>
    </row>
    <row r="11" spans="1:11" x14ac:dyDescent="0.2">
      <c r="A11" s="177" t="s">
        <v>66</v>
      </c>
      <c r="B11" s="202" t="s">
        <v>65</v>
      </c>
      <c r="C11" s="201"/>
      <c r="D11" s="194">
        <v>0</v>
      </c>
      <c r="E11" s="173">
        <v>0</v>
      </c>
      <c r="F11" s="173">
        <v>17600</v>
      </c>
      <c r="G11" s="173">
        <v>0</v>
      </c>
      <c r="H11" s="199">
        <f>F11-G11</f>
        <v>17600</v>
      </c>
      <c r="I11" s="171"/>
      <c r="J11" s="170">
        <f>(E11/F11)*100</f>
        <v>0</v>
      </c>
    </row>
    <row r="12" spans="1:11" x14ac:dyDescent="0.2">
      <c r="A12" s="177" t="s">
        <v>64</v>
      </c>
      <c r="B12" s="202" t="s">
        <v>63</v>
      </c>
      <c r="C12" s="201"/>
      <c r="D12" s="173">
        <f>D13</f>
        <v>455949.75645364652</v>
      </c>
      <c r="E12" s="173">
        <f>E13</f>
        <v>509482.98</v>
      </c>
      <c r="F12" s="173">
        <f>F13</f>
        <v>1081000</v>
      </c>
      <c r="G12" s="173">
        <f>G13</f>
        <v>509482.98</v>
      </c>
      <c r="H12" s="199">
        <f>H13</f>
        <v>571517.02</v>
      </c>
      <c r="I12" s="171">
        <f>(E12/D12)*100</f>
        <v>111.74103567084499</v>
      </c>
      <c r="J12" s="170">
        <f>(E12/F12)*100</f>
        <v>47.130710453283996</v>
      </c>
    </row>
    <row r="13" spans="1:11" x14ac:dyDescent="0.2">
      <c r="A13" s="177" t="s">
        <v>62</v>
      </c>
      <c r="B13" s="202" t="s">
        <v>61</v>
      </c>
      <c r="C13" s="201"/>
      <c r="D13" s="173">
        <f>3435353.44/7.5345</f>
        <v>455949.75645364652</v>
      </c>
      <c r="E13" s="173">
        <v>509482.98</v>
      </c>
      <c r="F13" s="173">
        <v>1081000</v>
      </c>
      <c r="G13" s="173">
        <v>509482.98</v>
      </c>
      <c r="H13" s="199">
        <f>F13-G13</f>
        <v>571517.02</v>
      </c>
      <c r="I13" s="171">
        <f>(E13/D13)*100</f>
        <v>111.74103567084499</v>
      </c>
      <c r="J13" s="170">
        <f>(E13/F13)*100</f>
        <v>47.130710453283996</v>
      </c>
      <c r="K13" s="83" t="s">
        <v>291</v>
      </c>
    </row>
    <row r="14" spans="1:11" x14ac:dyDescent="0.2">
      <c r="A14" s="177" t="s">
        <v>60</v>
      </c>
      <c r="B14" s="202" t="s">
        <v>59</v>
      </c>
      <c r="C14" s="201"/>
      <c r="D14" s="194">
        <v>0</v>
      </c>
      <c r="E14" s="173">
        <v>0</v>
      </c>
      <c r="F14" s="173">
        <v>0</v>
      </c>
      <c r="G14" s="173">
        <v>0</v>
      </c>
      <c r="H14" s="199">
        <v>0</v>
      </c>
      <c r="I14" s="171"/>
      <c r="J14" s="170"/>
    </row>
    <row r="15" spans="1:11" x14ac:dyDescent="0.2">
      <c r="A15" s="177" t="s">
        <v>58</v>
      </c>
      <c r="B15" s="202" t="s">
        <v>57</v>
      </c>
      <c r="C15" s="201"/>
      <c r="D15" s="194">
        <v>0</v>
      </c>
      <c r="E15" s="173">
        <v>0</v>
      </c>
      <c r="F15" s="173">
        <v>0</v>
      </c>
      <c r="G15" s="173">
        <v>0</v>
      </c>
      <c r="H15" s="199">
        <v>0</v>
      </c>
      <c r="I15" s="171"/>
      <c r="J15" s="170"/>
    </row>
    <row r="16" spans="1:11" x14ac:dyDescent="0.2">
      <c r="A16" s="177" t="s">
        <v>56</v>
      </c>
      <c r="B16" s="202" t="s">
        <v>55</v>
      </c>
      <c r="C16" s="201"/>
      <c r="D16" s="194">
        <f>D17</f>
        <v>0.46983874178777618</v>
      </c>
      <c r="E16" s="194">
        <f>E17</f>
        <v>0.01</v>
      </c>
      <c r="F16" s="194">
        <f>F17</f>
        <v>0</v>
      </c>
      <c r="G16" s="194">
        <f>G17</f>
        <v>0.01</v>
      </c>
      <c r="H16" s="193">
        <f>H17</f>
        <v>-0.01</v>
      </c>
      <c r="I16" s="171">
        <f>(E16/D16)*100</f>
        <v>2.1283898305084747</v>
      </c>
      <c r="J16" s="170"/>
    </row>
    <row r="17" spans="1:11" x14ac:dyDescent="0.2">
      <c r="A17" s="177" t="s">
        <v>54</v>
      </c>
      <c r="B17" s="202" t="s">
        <v>53</v>
      </c>
      <c r="C17" s="201"/>
      <c r="D17" s="194">
        <f>D18</f>
        <v>0.46983874178777618</v>
      </c>
      <c r="E17" s="194">
        <f>E18</f>
        <v>0.01</v>
      </c>
      <c r="F17" s="194">
        <f>F18</f>
        <v>0</v>
      </c>
      <c r="G17" s="194">
        <f>G18</f>
        <v>0.01</v>
      </c>
      <c r="H17" s="193">
        <f>H18</f>
        <v>-0.01</v>
      </c>
      <c r="I17" s="171">
        <f>(E17/D17)*100</f>
        <v>2.1283898305084747</v>
      </c>
      <c r="J17" s="170"/>
    </row>
    <row r="18" spans="1:11" x14ac:dyDescent="0.2">
      <c r="A18" s="177" t="s">
        <v>52</v>
      </c>
      <c r="B18" s="202" t="s">
        <v>51</v>
      </c>
      <c r="C18" s="201"/>
      <c r="D18" s="194">
        <f>3.54/7.5345</f>
        <v>0.46983874178777618</v>
      </c>
      <c r="E18" s="173">
        <v>0.01</v>
      </c>
      <c r="F18" s="173">
        <v>0</v>
      </c>
      <c r="G18" s="173">
        <v>0.01</v>
      </c>
      <c r="H18" s="199">
        <f>F18-G18</f>
        <v>-0.01</v>
      </c>
      <c r="I18" s="171">
        <f>(E18/D18)*100</f>
        <v>2.1283898305084747</v>
      </c>
      <c r="J18" s="170"/>
    </row>
    <row r="19" spans="1:11" x14ac:dyDescent="0.2">
      <c r="A19" s="177" t="s">
        <v>50</v>
      </c>
      <c r="B19" s="202" t="s">
        <v>49</v>
      </c>
      <c r="C19" s="201"/>
      <c r="D19" s="173">
        <f>D20</f>
        <v>1537.4875572367112</v>
      </c>
      <c r="E19" s="173">
        <f>E20</f>
        <v>8057.48</v>
      </c>
      <c r="F19" s="173">
        <f>F20</f>
        <v>3000</v>
      </c>
      <c r="G19" s="173">
        <f>G20</f>
        <v>8057.48</v>
      </c>
      <c r="H19" s="199">
        <f>H20</f>
        <v>-5057.4799999999996</v>
      </c>
      <c r="I19" s="171">
        <f>(E19/D19)*100</f>
        <v>524.06798104314487</v>
      </c>
      <c r="J19" s="170">
        <f>(E19/F19)*100</f>
        <v>268.58266666666663</v>
      </c>
      <c r="K19" s="83" t="s">
        <v>290</v>
      </c>
    </row>
    <row r="20" spans="1:11" x14ac:dyDescent="0.2">
      <c r="A20" s="177" t="s">
        <v>48</v>
      </c>
      <c r="B20" s="202" t="s">
        <v>47</v>
      </c>
      <c r="C20" s="201"/>
      <c r="D20" s="173">
        <f>D21</f>
        <v>1537.4875572367112</v>
      </c>
      <c r="E20" s="173">
        <f>E21</f>
        <v>8057.48</v>
      </c>
      <c r="F20" s="173">
        <f>F21</f>
        <v>3000</v>
      </c>
      <c r="G20" s="173">
        <f>G21</f>
        <v>8057.48</v>
      </c>
      <c r="H20" s="199">
        <f>H21</f>
        <v>-5057.4799999999996</v>
      </c>
      <c r="I20" s="171">
        <f>(E20/D20)*100</f>
        <v>524.06798104314487</v>
      </c>
      <c r="J20" s="170">
        <f>(E20/F20)*100</f>
        <v>268.58266666666663</v>
      </c>
    </row>
    <row r="21" spans="1:11" x14ac:dyDescent="0.2">
      <c r="A21" s="177" t="s">
        <v>46</v>
      </c>
      <c r="B21" s="202" t="s">
        <v>45</v>
      </c>
      <c r="C21" s="201"/>
      <c r="D21" s="173">
        <f>11584.2/7.5345</f>
        <v>1537.4875572367112</v>
      </c>
      <c r="E21" s="173">
        <v>8057.48</v>
      </c>
      <c r="F21" s="173">
        <v>3000</v>
      </c>
      <c r="G21" s="173">
        <v>8057.48</v>
      </c>
      <c r="H21" s="199">
        <f>F21-G21</f>
        <v>-5057.4799999999996</v>
      </c>
      <c r="I21" s="171">
        <f>(E21/D21)*100</f>
        <v>524.06798104314487</v>
      </c>
      <c r="J21" s="170">
        <f>(E21/F21)*100</f>
        <v>268.58266666666663</v>
      </c>
    </row>
    <row r="22" spans="1:11" x14ac:dyDescent="0.2">
      <c r="A22" s="177" t="s">
        <v>44</v>
      </c>
      <c r="B22" s="202" t="s">
        <v>43</v>
      </c>
      <c r="C22" s="201"/>
      <c r="D22" s="173">
        <f>D23+D25</f>
        <v>53.089123365850419</v>
      </c>
      <c r="E22" s="173">
        <f>E23+E25</f>
        <v>4785.66</v>
      </c>
      <c r="F22" s="173">
        <f>F23+F25</f>
        <v>20100</v>
      </c>
      <c r="G22" s="173">
        <f>G23+G25</f>
        <v>4785.66</v>
      </c>
      <c r="H22" s="199">
        <f>H23+H25</f>
        <v>15314.34</v>
      </c>
      <c r="I22" s="171">
        <f>(E22/D22)*100</f>
        <v>9014.3888174999993</v>
      </c>
      <c r="J22" s="170">
        <f>(E22/F22)*100</f>
        <v>23.809253731343283</v>
      </c>
    </row>
    <row r="23" spans="1:11" x14ac:dyDescent="0.2">
      <c r="A23" s="177" t="s">
        <v>42</v>
      </c>
      <c r="B23" s="202" t="s">
        <v>41</v>
      </c>
      <c r="C23" s="201"/>
      <c r="D23" s="194">
        <f>D24</f>
        <v>0</v>
      </c>
      <c r="E23" s="173">
        <v>0</v>
      </c>
      <c r="F23" s="173">
        <v>3400</v>
      </c>
      <c r="G23" s="173">
        <v>0</v>
      </c>
      <c r="H23" s="199">
        <v>3400</v>
      </c>
      <c r="I23" s="171"/>
      <c r="J23" s="170">
        <f>(E23/F23)*100</f>
        <v>0</v>
      </c>
    </row>
    <row r="24" spans="1:11" x14ac:dyDescent="0.2">
      <c r="A24" s="177" t="s">
        <v>40</v>
      </c>
      <c r="B24" s="202" t="s">
        <v>39</v>
      </c>
      <c r="C24" s="201"/>
      <c r="D24" s="194">
        <v>0</v>
      </c>
      <c r="E24" s="173">
        <v>0</v>
      </c>
      <c r="F24" s="173">
        <v>3400</v>
      </c>
      <c r="G24" s="173">
        <v>0</v>
      </c>
      <c r="H24" s="199">
        <f>F24-G24</f>
        <v>3400</v>
      </c>
      <c r="I24" s="171"/>
      <c r="J24" s="170">
        <f>(E24/F24)*100</f>
        <v>0</v>
      </c>
    </row>
    <row r="25" spans="1:11" ht="14.25" customHeight="1" x14ac:dyDescent="0.2">
      <c r="A25" s="177" t="s">
        <v>38</v>
      </c>
      <c r="B25" s="202" t="s">
        <v>37</v>
      </c>
      <c r="C25" s="201"/>
      <c r="D25" s="173">
        <f>D26+D27</f>
        <v>53.089123365850419</v>
      </c>
      <c r="E25" s="173">
        <f>E26+E27</f>
        <v>4785.66</v>
      </c>
      <c r="F25" s="173">
        <f>F26+F27</f>
        <v>16700</v>
      </c>
      <c r="G25" s="173">
        <f>G26+G27</f>
        <v>4785.66</v>
      </c>
      <c r="H25" s="199">
        <f>H26+H27</f>
        <v>11914.34</v>
      </c>
      <c r="I25" s="171">
        <f>(E25/D25)*100</f>
        <v>9014.3888174999993</v>
      </c>
      <c r="J25" s="170">
        <f>(E25/F25)*100</f>
        <v>28.656646706586823</v>
      </c>
    </row>
    <row r="26" spans="1:11" x14ac:dyDescent="0.2">
      <c r="A26" s="177" t="s">
        <v>36</v>
      </c>
      <c r="B26" s="202" t="s">
        <v>35</v>
      </c>
      <c r="C26" s="201"/>
      <c r="D26" s="173">
        <f>400/7.5345</f>
        <v>53.089123365850419</v>
      </c>
      <c r="E26" s="173">
        <v>4785.66</v>
      </c>
      <c r="F26" s="173">
        <v>16000</v>
      </c>
      <c r="G26" s="173">
        <v>4785.66</v>
      </c>
      <c r="H26" s="199">
        <f>F26-G26</f>
        <v>11214.34</v>
      </c>
      <c r="I26" s="171">
        <f>(E26/D26)*100</f>
        <v>9014.3888174999993</v>
      </c>
      <c r="J26" s="170">
        <f>(E26/F26)*100</f>
        <v>29.910375000000002</v>
      </c>
    </row>
    <row r="27" spans="1:11" x14ac:dyDescent="0.2">
      <c r="A27" s="177" t="s">
        <v>34</v>
      </c>
      <c r="B27" s="202" t="s">
        <v>33</v>
      </c>
      <c r="C27" s="201"/>
      <c r="D27" s="194">
        <v>0</v>
      </c>
      <c r="E27" s="173">
        <v>0</v>
      </c>
      <c r="F27" s="173">
        <v>700</v>
      </c>
      <c r="G27" s="173">
        <v>0</v>
      </c>
      <c r="H27" s="199">
        <f>F27-G27</f>
        <v>700</v>
      </c>
      <c r="I27" s="171"/>
      <c r="J27" s="170">
        <f>(E27/F27)*100</f>
        <v>0</v>
      </c>
    </row>
    <row r="28" spans="1:11" x14ac:dyDescent="0.2">
      <c r="A28" s="178">
        <v>67</v>
      </c>
      <c r="B28" s="200" t="s">
        <v>32</v>
      </c>
      <c r="C28" s="198"/>
      <c r="D28" s="173">
        <f>D29</f>
        <v>43776.562479262058</v>
      </c>
      <c r="E28" s="173">
        <f>E29</f>
        <v>31081.79</v>
      </c>
      <c r="F28" s="173">
        <f>F29</f>
        <v>384520</v>
      </c>
      <c r="G28" s="173">
        <f>G29</f>
        <v>31081.79</v>
      </c>
      <c r="H28" s="199">
        <f>H29</f>
        <v>353438.21</v>
      </c>
      <c r="I28" s="171">
        <f>(E28/D28)*100</f>
        <v>71.000983722109623</v>
      </c>
      <c r="J28" s="170">
        <f>(E28/F28)*100</f>
        <v>8.0832700509726418</v>
      </c>
    </row>
    <row r="29" spans="1:11" x14ac:dyDescent="0.2">
      <c r="A29" s="178">
        <v>671</v>
      </c>
      <c r="B29" s="200" t="s">
        <v>31</v>
      </c>
      <c r="C29" s="198"/>
      <c r="D29" s="173">
        <f>D30+D31</f>
        <v>43776.562479262058</v>
      </c>
      <c r="E29" s="173">
        <f>E30+E31</f>
        <v>31081.79</v>
      </c>
      <c r="F29" s="173">
        <f>F30+F31</f>
        <v>384520</v>
      </c>
      <c r="G29" s="173">
        <f>G30+G31</f>
        <v>31081.79</v>
      </c>
      <c r="H29" s="199">
        <f>H30+H31</f>
        <v>353438.21</v>
      </c>
      <c r="I29" s="171">
        <f>(E29/D29)*100</f>
        <v>71.000983722109623</v>
      </c>
      <c r="J29" s="170">
        <f>(E29/F29)*100</f>
        <v>8.0832700509726418</v>
      </c>
    </row>
    <row r="30" spans="1:11" x14ac:dyDescent="0.2">
      <c r="A30" s="197">
        <v>6711</v>
      </c>
      <c r="B30" s="198" t="s">
        <v>30</v>
      </c>
      <c r="C30" s="198"/>
      <c r="D30" s="194">
        <f>329834.51/7.5345</f>
        <v>43776.562479262058</v>
      </c>
      <c r="E30" s="194">
        <v>27100.11</v>
      </c>
      <c r="F30" s="194">
        <v>309490</v>
      </c>
      <c r="G30" s="194">
        <v>27100.11</v>
      </c>
      <c r="H30" s="193">
        <f>F30-G30</f>
        <v>282389.89</v>
      </c>
      <c r="I30" s="171">
        <f>(E30/D30)*100</f>
        <v>61.90552310460177</v>
      </c>
      <c r="J30" s="170">
        <f>(E30/F30)*100</f>
        <v>8.7563766195999868</v>
      </c>
    </row>
    <row r="31" spans="1:11" x14ac:dyDescent="0.2">
      <c r="A31" s="197">
        <v>6712</v>
      </c>
      <c r="B31" s="198" t="s">
        <v>29</v>
      </c>
      <c r="C31" s="198"/>
      <c r="D31" s="194">
        <v>0</v>
      </c>
      <c r="E31" s="194">
        <v>3981.68</v>
      </c>
      <c r="F31" s="194">
        <v>75030</v>
      </c>
      <c r="G31" s="194">
        <v>3981.68</v>
      </c>
      <c r="H31" s="193">
        <f>F31-G31</f>
        <v>71048.320000000007</v>
      </c>
      <c r="I31" s="171"/>
      <c r="J31" s="170">
        <f>(E31/F31)*100</f>
        <v>5.3067839530854322</v>
      </c>
    </row>
    <row r="32" spans="1:11" x14ac:dyDescent="0.2">
      <c r="A32" s="197">
        <v>9221</v>
      </c>
      <c r="B32" s="196" t="s">
        <v>28</v>
      </c>
      <c r="C32" s="195"/>
      <c r="D32" s="194">
        <f>61662.69/7.5345</f>
        <v>8184.0453912004778</v>
      </c>
      <c r="E32" s="194">
        <v>0</v>
      </c>
      <c r="F32" s="194">
        <v>34000</v>
      </c>
      <c r="G32" s="194">
        <v>0</v>
      </c>
      <c r="H32" s="193">
        <v>34000</v>
      </c>
      <c r="I32" s="171">
        <f>(E32/D32)*100</f>
        <v>0</v>
      </c>
      <c r="J32" s="170">
        <f>(E32/F32)*100</f>
        <v>0</v>
      </c>
      <c r="K32" s="83" t="s">
        <v>289</v>
      </c>
    </row>
    <row r="33" spans="1:11" x14ac:dyDescent="0.2">
      <c r="I33" s="192"/>
      <c r="J33" s="191"/>
      <c r="K33" s="83" t="s">
        <v>288</v>
      </c>
    </row>
    <row r="34" spans="1:11" x14ac:dyDescent="0.2">
      <c r="I34" s="192"/>
      <c r="J34" s="191"/>
      <c r="K34" s="83" t="s">
        <v>287</v>
      </c>
    </row>
    <row r="35" spans="1:11" ht="13.5" thickBot="1" x14ac:dyDescent="0.25">
      <c r="I35" s="192"/>
      <c r="J35" s="191"/>
    </row>
    <row r="36" spans="1:11" ht="40.5" customHeight="1" thickTop="1" thickBot="1" x14ac:dyDescent="0.25">
      <c r="A36" s="187" t="s">
        <v>3</v>
      </c>
      <c r="B36" s="92"/>
      <c r="C36" s="92"/>
      <c r="D36" s="186" t="s">
        <v>24</v>
      </c>
      <c r="E36" s="186" t="s">
        <v>25</v>
      </c>
      <c r="F36" s="190" t="s">
        <v>4</v>
      </c>
      <c r="G36" s="185" t="s">
        <v>5</v>
      </c>
      <c r="H36" s="185" t="s">
        <v>6</v>
      </c>
      <c r="I36" s="189" t="s">
        <v>26</v>
      </c>
      <c r="J36" s="188" t="s">
        <v>27</v>
      </c>
    </row>
    <row r="37" spans="1:11" ht="14.25" thickTop="1" thickBot="1" x14ac:dyDescent="0.25">
      <c r="A37" s="186" t="s">
        <v>7</v>
      </c>
      <c r="B37" s="187" t="s">
        <v>8</v>
      </c>
      <c r="C37" s="187"/>
      <c r="D37" s="186"/>
      <c r="E37" s="186" t="s">
        <v>10</v>
      </c>
      <c r="F37" s="186" t="s">
        <v>9</v>
      </c>
      <c r="G37" s="185" t="s">
        <v>12</v>
      </c>
      <c r="H37" s="185" t="s">
        <v>13</v>
      </c>
      <c r="I37" s="171"/>
      <c r="J37" s="170"/>
    </row>
    <row r="38" spans="1:11" ht="13.5" customHeight="1" thickTop="1" x14ac:dyDescent="0.2">
      <c r="A38" s="184"/>
      <c r="B38" s="183" t="s">
        <v>19</v>
      </c>
      <c r="C38" s="183"/>
      <c r="D38" s="182">
        <f>D39+D93</f>
        <v>510684.80854734883</v>
      </c>
      <c r="E38" s="182">
        <v>583939.94999999995</v>
      </c>
      <c r="F38" s="182">
        <v>1540220</v>
      </c>
      <c r="G38" s="181">
        <v>583939.94999999995</v>
      </c>
      <c r="H38" s="181">
        <v>956280.05</v>
      </c>
      <c r="I38" s="180">
        <f>(E38/D38)*100</f>
        <v>114.34449198930091</v>
      </c>
      <c r="J38" s="179">
        <f>(E38/F38)*100</f>
        <v>37.912762462505356</v>
      </c>
      <c r="K38" s="83" t="s">
        <v>286</v>
      </c>
    </row>
    <row r="39" spans="1:11" x14ac:dyDescent="0.2">
      <c r="A39" s="177" t="s">
        <v>20</v>
      </c>
      <c r="B39" s="176" t="s">
        <v>21</v>
      </c>
      <c r="C39" s="175"/>
      <c r="D39" s="173">
        <f>D40+D50+D81+D86+D90</f>
        <v>509257.35483442829</v>
      </c>
      <c r="E39" s="173">
        <v>577147.03</v>
      </c>
      <c r="F39" s="173">
        <v>1215950</v>
      </c>
      <c r="G39" s="172">
        <v>577147.03</v>
      </c>
      <c r="H39" s="172">
        <v>638802.97</v>
      </c>
      <c r="I39" s="171">
        <f>(E39/D39)*100</f>
        <v>113.3311133400605</v>
      </c>
      <c r="J39" s="170">
        <f>(E39/F39)*100</f>
        <v>47.464700851186322</v>
      </c>
      <c r="K39" s="83" t="s">
        <v>285</v>
      </c>
    </row>
    <row r="40" spans="1:11" x14ac:dyDescent="0.2">
      <c r="A40" s="177" t="s">
        <v>201</v>
      </c>
      <c r="B40" s="176" t="s">
        <v>200</v>
      </c>
      <c r="C40" s="175"/>
      <c r="D40" s="173">
        <f>D41+D45+D47</f>
        <v>462343.40832172008</v>
      </c>
      <c r="E40" s="173">
        <v>515022.7</v>
      </c>
      <c r="F40" s="173">
        <v>1094970</v>
      </c>
      <c r="G40" s="172">
        <v>515022.7</v>
      </c>
      <c r="H40" s="172">
        <v>579947.30000000005</v>
      </c>
      <c r="I40" s="171">
        <f>(E40/D40)*100</f>
        <v>111.39397485291349</v>
      </c>
      <c r="J40" s="170">
        <f>(E40/F40)*100</f>
        <v>47.035325168726082</v>
      </c>
    </row>
    <row r="41" spans="1:11" x14ac:dyDescent="0.2">
      <c r="A41" s="177" t="s">
        <v>199</v>
      </c>
      <c r="B41" s="176" t="s">
        <v>198</v>
      </c>
      <c r="C41" s="175"/>
      <c r="D41" s="173">
        <f>D42+D43+D44</f>
        <v>383710.86070741259</v>
      </c>
      <c r="E41" s="173">
        <v>428642.15</v>
      </c>
      <c r="F41" s="173">
        <v>918720</v>
      </c>
      <c r="G41" s="172">
        <v>428642.15</v>
      </c>
      <c r="H41" s="172">
        <v>490077.85</v>
      </c>
      <c r="I41" s="171">
        <f>(E41/D41)*100</f>
        <v>111.70967358332045</v>
      </c>
      <c r="J41" s="170">
        <f>(E41/F41)*100</f>
        <v>46.656451367119473</v>
      </c>
    </row>
    <row r="42" spans="1:11" x14ac:dyDescent="0.2">
      <c r="A42" s="177" t="s">
        <v>197</v>
      </c>
      <c r="B42" s="176" t="s">
        <v>196</v>
      </c>
      <c r="C42" s="175"/>
      <c r="D42" s="174">
        <f>2754272.41/(7.5345)</f>
        <v>365554.76939412038</v>
      </c>
      <c r="E42" s="173">
        <v>407884.2</v>
      </c>
      <c r="F42" s="173">
        <v>878720</v>
      </c>
      <c r="G42" s="172">
        <v>407884.2</v>
      </c>
      <c r="H42" s="172">
        <v>470835.8</v>
      </c>
      <c r="I42" s="171">
        <f>(E42/D42)*100</f>
        <v>111.57950439985709</v>
      </c>
      <c r="J42" s="170">
        <f>(E42/F42)*100</f>
        <v>46.417994355426075</v>
      </c>
    </row>
    <row r="43" spans="1:11" x14ac:dyDescent="0.2">
      <c r="A43" s="177" t="s">
        <v>195</v>
      </c>
      <c r="B43" s="176" t="s">
        <v>194</v>
      </c>
      <c r="C43" s="175"/>
      <c r="D43" s="174">
        <f>52622.88/(7.5345)</f>
        <v>6984.2564204658565</v>
      </c>
      <c r="E43" s="173">
        <v>7859.28</v>
      </c>
      <c r="F43" s="173">
        <v>15000</v>
      </c>
      <c r="G43" s="172">
        <v>7859.28</v>
      </c>
      <c r="H43" s="172">
        <v>7140.72</v>
      </c>
      <c r="I43" s="171">
        <f>(E43/D43)*100</f>
        <v>112.52851451687935</v>
      </c>
      <c r="J43" s="170">
        <f>(E43/F43)*100</f>
        <v>52.395199999999996</v>
      </c>
    </row>
    <row r="44" spans="1:11" x14ac:dyDescent="0.2">
      <c r="A44" s="177" t="s">
        <v>193</v>
      </c>
      <c r="B44" s="176" t="s">
        <v>192</v>
      </c>
      <c r="C44" s="175"/>
      <c r="D44" s="174">
        <f>84174.19/(7.5345)</f>
        <v>11171.834892826331</v>
      </c>
      <c r="E44" s="173">
        <v>12898.67</v>
      </c>
      <c r="F44" s="173">
        <v>25000</v>
      </c>
      <c r="G44" s="172">
        <v>12898.67</v>
      </c>
      <c r="H44" s="172">
        <v>12101.33</v>
      </c>
      <c r="I44" s="171">
        <f>(E44/D44)*100</f>
        <v>115.45704106567585</v>
      </c>
      <c r="J44" s="170">
        <f>(E44/F44)*100</f>
        <v>51.594680000000004</v>
      </c>
    </row>
    <row r="45" spans="1:11" x14ac:dyDescent="0.2">
      <c r="A45" s="177" t="s">
        <v>191</v>
      </c>
      <c r="B45" s="176" t="s">
        <v>189</v>
      </c>
      <c r="C45" s="175"/>
      <c r="D45" s="173">
        <f>D46</f>
        <v>15238.554648616364</v>
      </c>
      <c r="E45" s="173">
        <v>15645.24</v>
      </c>
      <c r="F45" s="173">
        <v>25800</v>
      </c>
      <c r="G45" s="172">
        <v>15645.24</v>
      </c>
      <c r="H45" s="172">
        <v>10154.76</v>
      </c>
      <c r="I45" s="171">
        <f>(E45/D45)*100</f>
        <v>102.66879215753289</v>
      </c>
      <c r="J45" s="170">
        <f>(E45/F45)*100</f>
        <v>60.640465116279074</v>
      </c>
    </row>
    <row r="46" spans="1:11" x14ac:dyDescent="0.2">
      <c r="A46" s="177" t="s">
        <v>190</v>
      </c>
      <c r="B46" s="176" t="s">
        <v>189</v>
      </c>
      <c r="C46" s="175"/>
      <c r="D46" s="174">
        <f>114814.89/(7.5345)</f>
        <v>15238.554648616364</v>
      </c>
      <c r="E46" s="173">
        <v>15645.24</v>
      </c>
      <c r="F46" s="173">
        <v>25800</v>
      </c>
      <c r="G46" s="172">
        <v>15645.24</v>
      </c>
      <c r="H46" s="172">
        <v>10154.76</v>
      </c>
      <c r="I46" s="171">
        <f>(E46/D46)*100</f>
        <v>102.66879215753289</v>
      </c>
      <c r="J46" s="170">
        <f>(E46/F46)*100</f>
        <v>60.640465116279074</v>
      </c>
    </row>
    <row r="47" spans="1:11" x14ac:dyDescent="0.2">
      <c r="A47" s="177" t="s">
        <v>188</v>
      </c>
      <c r="B47" s="176" t="s">
        <v>187</v>
      </c>
      <c r="C47" s="175"/>
      <c r="D47" s="173">
        <f>D48+D49</f>
        <v>63393.992965691148</v>
      </c>
      <c r="E47" s="173">
        <v>70735.31</v>
      </c>
      <c r="F47" s="173">
        <v>150450</v>
      </c>
      <c r="G47" s="172">
        <v>70735.31</v>
      </c>
      <c r="H47" s="172">
        <v>79714.69</v>
      </c>
      <c r="I47" s="171">
        <f>(E47/D47)*100</f>
        <v>111.58046163503532</v>
      </c>
      <c r="J47" s="170">
        <f>(E47/F47)*100</f>
        <v>47.015825855766039</v>
      </c>
    </row>
    <row r="48" spans="1:11" x14ac:dyDescent="0.2">
      <c r="A48" s="177" t="s">
        <v>186</v>
      </c>
      <c r="B48" s="176" t="s">
        <v>185</v>
      </c>
      <c r="C48" s="175"/>
      <c r="D48" s="174">
        <f>477642.04/(7.5345)</f>
        <v>63393.992965691148</v>
      </c>
      <c r="E48" s="173">
        <v>70735.31</v>
      </c>
      <c r="F48" s="173">
        <v>150450</v>
      </c>
      <c r="G48" s="172">
        <v>70735.31</v>
      </c>
      <c r="H48" s="172">
        <v>79714.69</v>
      </c>
      <c r="I48" s="171">
        <f>(E48/D48)*100</f>
        <v>111.58046163503532</v>
      </c>
      <c r="J48" s="170">
        <f>(E48/F48)*100</f>
        <v>47.015825855766039</v>
      </c>
    </row>
    <row r="49" spans="1:11" x14ac:dyDescent="0.2">
      <c r="A49" s="178">
        <v>3133</v>
      </c>
      <c r="B49" s="176" t="s">
        <v>184</v>
      </c>
      <c r="C49" s="175"/>
      <c r="D49" s="174">
        <f>0/(7.5345)</f>
        <v>0</v>
      </c>
      <c r="E49" s="173"/>
      <c r="F49" s="173"/>
      <c r="G49" s="173"/>
      <c r="H49" s="173"/>
      <c r="I49" s="171"/>
      <c r="J49" s="170"/>
    </row>
    <row r="50" spans="1:11" x14ac:dyDescent="0.2">
      <c r="A50" s="177" t="s">
        <v>183</v>
      </c>
      <c r="B50" s="176" t="s">
        <v>182</v>
      </c>
      <c r="C50" s="175"/>
      <c r="D50" s="173">
        <f>D51+D56+D63+D73</f>
        <v>45481.397571172609</v>
      </c>
      <c r="E50" s="173">
        <v>59764.07</v>
      </c>
      <c r="F50" s="173">
        <v>118530</v>
      </c>
      <c r="G50" s="172">
        <v>59764.07</v>
      </c>
      <c r="H50" s="172">
        <v>58765.93</v>
      </c>
      <c r="I50" s="171">
        <f>(E50/D50)*100</f>
        <v>131.40332793528788</v>
      </c>
      <c r="J50" s="170">
        <f>(E50/F50)*100</f>
        <v>50.421049523327433</v>
      </c>
    </row>
    <row r="51" spans="1:11" x14ac:dyDescent="0.2">
      <c r="A51" s="177" t="s">
        <v>181</v>
      </c>
      <c r="B51" s="176" t="s">
        <v>180</v>
      </c>
      <c r="C51" s="175"/>
      <c r="D51" s="173">
        <f>D52+D53+D54+D55</f>
        <v>15958.763023425578</v>
      </c>
      <c r="E51" s="173">
        <v>15728.79</v>
      </c>
      <c r="F51" s="173">
        <v>26330</v>
      </c>
      <c r="G51" s="172">
        <v>15728.79</v>
      </c>
      <c r="H51" s="172">
        <v>10601.21</v>
      </c>
      <c r="I51" s="171">
        <f>(E51/D51)*100</f>
        <v>98.558954581329374</v>
      </c>
      <c r="J51" s="170">
        <f>(E51/F51)*100</f>
        <v>59.737143942271175</v>
      </c>
    </row>
    <row r="52" spans="1:11" x14ac:dyDescent="0.2">
      <c r="A52" s="177" t="s">
        <v>179</v>
      </c>
      <c r="B52" s="176" t="s">
        <v>178</v>
      </c>
      <c r="C52" s="175"/>
      <c r="D52" s="174">
        <f>50175.11/(7.5345)</f>
        <v>6659.3815117127879</v>
      </c>
      <c r="E52" s="173">
        <v>6747.51</v>
      </c>
      <c r="F52" s="173">
        <v>3130</v>
      </c>
      <c r="G52" s="172">
        <v>6747.51</v>
      </c>
      <c r="H52" s="172">
        <v>-3617.51</v>
      </c>
      <c r="I52" s="171">
        <f>(E52/D52)*100</f>
        <v>101.32337347142837</v>
      </c>
      <c r="J52" s="170">
        <f>(E52/F52)*100</f>
        <v>215.57539936102236</v>
      </c>
      <c r="K52" s="83" t="s">
        <v>284</v>
      </c>
    </row>
    <row r="53" spans="1:11" x14ac:dyDescent="0.2">
      <c r="A53" s="177" t="s">
        <v>177</v>
      </c>
      <c r="B53" s="176" t="s">
        <v>176</v>
      </c>
      <c r="C53" s="175"/>
      <c r="D53" s="174">
        <f>69253.69/(7.5345)</f>
        <v>9191.5442298759044</v>
      </c>
      <c r="E53" s="173">
        <v>8951.68</v>
      </c>
      <c r="F53" s="173">
        <v>22240</v>
      </c>
      <c r="G53" s="172">
        <v>8951.68</v>
      </c>
      <c r="H53" s="172">
        <v>13288.32</v>
      </c>
      <c r="I53" s="171">
        <f>(E53/D53)*100</f>
        <v>97.390381595551077</v>
      </c>
      <c r="J53" s="170">
        <f>(E53/F53)*100</f>
        <v>40.250359712230214</v>
      </c>
    </row>
    <row r="54" spans="1:11" x14ac:dyDescent="0.2">
      <c r="A54" s="177" t="s">
        <v>175</v>
      </c>
      <c r="B54" s="176" t="s">
        <v>174</v>
      </c>
      <c r="C54" s="175"/>
      <c r="D54" s="174">
        <f>812.5/(7.5345)</f>
        <v>107.83728183688366</v>
      </c>
      <c r="E54" s="173">
        <v>0</v>
      </c>
      <c r="F54" s="173">
        <v>660</v>
      </c>
      <c r="G54" s="172">
        <v>0</v>
      </c>
      <c r="H54" s="172">
        <v>660</v>
      </c>
      <c r="I54" s="171">
        <f>(E54/D54)*100</f>
        <v>0</v>
      </c>
      <c r="J54" s="170">
        <f>(E54/F54)*100</f>
        <v>0</v>
      </c>
    </row>
    <row r="55" spans="1:11" x14ac:dyDescent="0.2">
      <c r="A55" s="177" t="s">
        <v>173</v>
      </c>
      <c r="B55" s="176" t="s">
        <v>172</v>
      </c>
      <c r="C55" s="175"/>
      <c r="D55" s="174">
        <f>0/(7.5345)</f>
        <v>0</v>
      </c>
      <c r="E55" s="173">
        <v>29.6</v>
      </c>
      <c r="F55" s="173">
        <v>300</v>
      </c>
      <c r="G55" s="172">
        <v>29.6</v>
      </c>
      <c r="H55" s="172">
        <v>270.39999999999998</v>
      </c>
      <c r="I55" s="171"/>
      <c r="J55" s="170">
        <f>(E55/F55)*100</f>
        <v>9.8666666666666671</v>
      </c>
    </row>
    <row r="56" spans="1:11" x14ac:dyDescent="0.2">
      <c r="A56" s="177" t="s">
        <v>171</v>
      </c>
      <c r="B56" s="176" t="s">
        <v>170</v>
      </c>
      <c r="C56" s="175"/>
      <c r="D56" s="173">
        <f>D57+D58+D59+D60+D61+D62</f>
        <v>7346.0654323445478</v>
      </c>
      <c r="E56" s="173">
        <v>8290.11</v>
      </c>
      <c r="F56" s="173">
        <v>18220</v>
      </c>
      <c r="G56" s="172">
        <v>8290.11</v>
      </c>
      <c r="H56" s="172">
        <v>9929.89</v>
      </c>
      <c r="I56" s="171">
        <f>(E56/D56)*100</f>
        <v>112.85102312727638</v>
      </c>
      <c r="J56" s="170">
        <f>(E56/F56)*100</f>
        <v>45.500054884742049</v>
      </c>
    </row>
    <row r="57" spans="1:11" x14ac:dyDescent="0.2">
      <c r="A57" s="177" t="s">
        <v>169</v>
      </c>
      <c r="B57" s="176" t="s">
        <v>168</v>
      </c>
      <c r="C57" s="175"/>
      <c r="D57" s="174">
        <f>51963.95/(7.5345)</f>
        <v>6896.8013803172071</v>
      </c>
      <c r="E57" s="173">
        <v>7307.76</v>
      </c>
      <c r="F57" s="173">
        <v>6680</v>
      </c>
      <c r="G57" s="172">
        <v>7307.76</v>
      </c>
      <c r="H57" s="172">
        <v>-627.76</v>
      </c>
      <c r="I57" s="171">
        <f>(E57/D57)*100</f>
        <v>105.95868428015962</v>
      </c>
      <c r="J57" s="170">
        <f>(E57/F57)*100</f>
        <v>109.39760479041915</v>
      </c>
      <c r="K57" s="83" t="s">
        <v>283</v>
      </c>
    </row>
    <row r="58" spans="1:11" x14ac:dyDescent="0.2">
      <c r="A58" s="177" t="s">
        <v>167</v>
      </c>
      <c r="B58" s="176" t="s">
        <v>166</v>
      </c>
      <c r="C58" s="175"/>
      <c r="D58" s="174">
        <f>1181.02/(7.5345)</f>
        <v>156.74829119384165</v>
      </c>
      <c r="E58" s="173">
        <v>241.34</v>
      </c>
      <c r="F58" s="173">
        <v>0</v>
      </c>
      <c r="G58" s="172">
        <v>241.34</v>
      </c>
      <c r="H58" s="172">
        <v>-241.34</v>
      </c>
      <c r="I58" s="171">
        <f>(E58/D58)*100</f>
        <v>153.96659074359454</v>
      </c>
      <c r="J58" s="170"/>
    </row>
    <row r="59" spans="1:11" x14ac:dyDescent="0.2">
      <c r="A59" s="177" t="s">
        <v>165</v>
      </c>
      <c r="B59" s="176" t="s">
        <v>164</v>
      </c>
      <c r="C59" s="175"/>
      <c r="D59" s="174">
        <f>0/(7.5345)</f>
        <v>0</v>
      </c>
      <c r="E59" s="173">
        <v>0</v>
      </c>
      <c r="F59" s="173">
        <v>8760</v>
      </c>
      <c r="G59" s="172">
        <v>0</v>
      </c>
      <c r="H59" s="172">
        <v>8760</v>
      </c>
      <c r="I59" s="171"/>
      <c r="J59" s="170">
        <f>(E59/F59)*100</f>
        <v>0</v>
      </c>
    </row>
    <row r="60" spans="1:11" x14ac:dyDescent="0.2">
      <c r="A60" s="177" t="s">
        <v>163</v>
      </c>
      <c r="B60" s="176" t="s">
        <v>162</v>
      </c>
      <c r="C60" s="175"/>
      <c r="D60" s="174">
        <f>774/(7.5345)</f>
        <v>102.72745371292056</v>
      </c>
      <c r="E60" s="173">
        <v>372.92</v>
      </c>
      <c r="F60" s="173">
        <v>2120</v>
      </c>
      <c r="G60" s="172">
        <v>372.92</v>
      </c>
      <c r="H60" s="172">
        <v>1747.08</v>
      </c>
      <c r="I60" s="171">
        <f>(E60/D60)*100</f>
        <v>363.01882945736435</v>
      </c>
      <c r="J60" s="170">
        <f>(E60/F60)*100</f>
        <v>17.590566037735851</v>
      </c>
    </row>
    <row r="61" spans="1:11" x14ac:dyDescent="0.2">
      <c r="A61" s="177" t="s">
        <v>161</v>
      </c>
      <c r="B61" s="176" t="s">
        <v>160</v>
      </c>
      <c r="C61" s="175"/>
      <c r="D61" s="174">
        <f>0/(7.5345)</f>
        <v>0</v>
      </c>
      <c r="E61" s="173">
        <v>0</v>
      </c>
      <c r="F61" s="173">
        <v>660</v>
      </c>
      <c r="G61" s="172">
        <v>0</v>
      </c>
      <c r="H61" s="172">
        <v>660</v>
      </c>
      <c r="I61" s="171"/>
      <c r="J61" s="170">
        <f>(E61/F61)*100</f>
        <v>0</v>
      </c>
    </row>
    <row r="62" spans="1:11" x14ac:dyDescent="0.2">
      <c r="A62" s="177" t="s">
        <v>159</v>
      </c>
      <c r="B62" s="176" t="s">
        <v>158</v>
      </c>
      <c r="C62" s="175"/>
      <c r="D62" s="174">
        <f>1429.96/(7.5345)</f>
        <v>189.78830712057868</v>
      </c>
      <c r="E62" s="173">
        <v>368.09</v>
      </c>
      <c r="F62" s="173">
        <v>0</v>
      </c>
      <c r="G62" s="172">
        <v>368.09</v>
      </c>
      <c r="H62" s="172">
        <v>-368.09</v>
      </c>
      <c r="I62" s="171">
        <f>(E62/D62)*100</f>
        <v>193.94767021455144</v>
      </c>
      <c r="J62" s="170"/>
    </row>
    <row r="63" spans="1:11" x14ac:dyDescent="0.2">
      <c r="A63" s="177" t="s">
        <v>157</v>
      </c>
      <c r="B63" s="176" t="s">
        <v>156</v>
      </c>
      <c r="C63" s="175"/>
      <c r="D63" s="173">
        <f>D64+D65+D66+D67+D68+D69+D70+D71+D72</f>
        <v>13194.783993629306</v>
      </c>
      <c r="E63" s="173">
        <v>26111.5</v>
      </c>
      <c r="F63" s="173">
        <v>42450</v>
      </c>
      <c r="G63" s="172">
        <v>26111.5</v>
      </c>
      <c r="H63" s="172">
        <v>16338.5</v>
      </c>
      <c r="I63" s="171">
        <f>(E63/D63)*100</f>
        <v>197.89259159230747</v>
      </c>
      <c r="J63" s="170">
        <f>(E63/F63)*100</f>
        <v>61.51118963486455</v>
      </c>
    </row>
    <row r="64" spans="1:11" x14ac:dyDescent="0.2">
      <c r="A64" s="177" t="s">
        <v>155</v>
      </c>
      <c r="B64" s="176" t="s">
        <v>154</v>
      </c>
      <c r="C64" s="175"/>
      <c r="D64" s="174">
        <f>5287.71/(7.5345)</f>
        <v>701.79972128210227</v>
      </c>
      <c r="E64" s="173">
        <v>810.1</v>
      </c>
      <c r="F64" s="173">
        <v>1990</v>
      </c>
      <c r="G64" s="172">
        <v>810.1</v>
      </c>
      <c r="H64" s="172">
        <v>1179.9000000000001</v>
      </c>
      <c r="I64" s="171">
        <f>(E64/D64)*100</f>
        <v>115.43179277986124</v>
      </c>
      <c r="J64" s="170">
        <f>(E64/F64)*100</f>
        <v>40.708542713567844</v>
      </c>
    </row>
    <row r="65" spans="1:11" x14ac:dyDescent="0.2">
      <c r="A65" s="177" t="s">
        <v>153</v>
      </c>
      <c r="B65" s="176" t="s">
        <v>152</v>
      </c>
      <c r="C65" s="175"/>
      <c r="D65" s="174">
        <f>26510/(7.5345)</f>
        <v>3518.4816510717365</v>
      </c>
      <c r="E65" s="173">
        <v>3944.28</v>
      </c>
      <c r="F65" s="173">
        <v>18320</v>
      </c>
      <c r="G65" s="172">
        <v>3944.28</v>
      </c>
      <c r="H65" s="172">
        <v>14375.72</v>
      </c>
      <c r="I65" s="171">
        <f>(E65/D65)*100</f>
        <v>112.10176408902302</v>
      </c>
      <c r="J65" s="170">
        <f>(E65/F65)*100</f>
        <v>21.529912663755461</v>
      </c>
    </row>
    <row r="66" spans="1:11" x14ac:dyDescent="0.2">
      <c r="A66" s="177" t="s">
        <v>151</v>
      </c>
      <c r="B66" s="176" t="s">
        <v>150</v>
      </c>
      <c r="C66" s="175"/>
      <c r="D66" s="174">
        <f>4968/(7.5345)</f>
        <v>659.36691220386217</v>
      </c>
      <c r="E66" s="173">
        <v>0</v>
      </c>
      <c r="F66" s="173">
        <v>270</v>
      </c>
      <c r="G66" s="172">
        <v>0</v>
      </c>
      <c r="H66" s="172">
        <v>270</v>
      </c>
      <c r="I66" s="171">
        <f>(E66/D66)*100</f>
        <v>0</v>
      </c>
      <c r="J66" s="170">
        <f>(E66/F66)*100</f>
        <v>0</v>
      </c>
    </row>
    <row r="67" spans="1:11" x14ac:dyDescent="0.2">
      <c r="A67" s="177" t="s">
        <v>149</v>
      </c>
      <c r="B67" s="176" t="s">
        <v>148</v>
      </c>
      <c r="C67" s="175"/>
      <c r="D67" s="174">
        <f>20060.98/(7.5345)</f>
        <v>2662.5496051496448</v>
      </c>
      <c r="E67" s="173">
        <v>3136.52</v>
      </c>
      <c r="F67" s="173">
        <v>6370</v>
      </c>
      <c r="G67" s="172">
        <v>3136.52</v>
      </c>
      <c r="H67" s="172">
        <v>3233.48</v>
      </c>
      <c r="I67" s="171">
        <f>(E67/D67)*100</f>
        <v>117.80137331276936</v>
      </c>
      <c r="J67" s="170">
        <f>(E67/F67)*100</f>
        <v>49.238932496075357</v>
      </c>
    </row>
    <row r="68" spans="1:11" x14ac:dyDescent="0.2">
      <c r="A68" s="177" t="s">
        <v>147</v>
      </c>
      <c r="B68" s="176" t="s">
        <v>146</v>
      </c>
      <c r="C68" s="175"/>
      <c r="D68" s="174">
        <f>11694.72/(7.5345)</f>
        <v>1552.1560820226955</v>
      </c>
      <c r="E68" s="173">
        <v>1688.1</v>
      </c>
      <c r="F68" s="173">
        <v>0</v>
      </c>
      <c r="G68" s="172">
        <v>1688.1</v>
      </c>
      <c r="H68" s="172">
        <v>-1688.1</v>
      </c>
      <c r="I68" s="171">
        <f>(E68/D68)*100</f>
        <v>108.75839224880973</v>
      </c>
      <c r="J68" s="170"/>
    </row>
    <row r="69" spans="1:11" x14ac:dyDescent="0.2">
      <c r="A69" s="177" t="s">
        <v>145</v>
      </c>
      <c r="B69" s="176" t="s">
        <v>144</v>
      </c>
      <c r="C69" s="175"/>
      <c r="D69" s="174">
        <f>5160/(7.5345)</f>
        <v>684.84969141947045</v>
      </c>
      <c r="E69" s="173">
        <v>0</v>
      </c>
      <c r="F69" s="173">
        <v>5180</v>
      </c>
      <c r="G69" s="172">
        <v>0</v>
      </c>
      <c r="H69" s="172">
        <v>5180</v>
      </c>
      <c r="I69" s="171">
        <f>(E69/D69)*100</f>
        <v>0</v>
      </c>
      <c r="J69" s="170">
        <f>(E69/F69)*100</f>
        <v>0</v>
      </c>
    </row>
    <row r="70" spans="1:11" x14ac:dyDescent="0.2">
      <c r="A70" s="177" t="s">
        <v>143</v>
      </c>
      <c r="B70" s="176" t="s">
        <v>142</v>
      </c>
      <c r="C70" s="175"/>
      <c r="D70" s="174">
        <f>15249.69/(7.5345)</f>
        <v>2023.9816842524388</v>
      </c>
      <c r="E70" s="173">
        <v>15833.89</v>
      </c>
      <c r="F70" s="173">
        <v>8330</v>
      </c>
      <c r="G70" s="172">
        <v>15833.89</v>
      </c>
      <c r="H70" s="172">
        <v>-7503.89</v>
      </c>
      <c r="I70" s="171">
        <f>(E70/D70)*100</f>
        <v>782.31389756119631</v>
      </c>
      <c r="J70" s="170">
        <f>(E70/F70)*100</f>
        <v>190.08271308523408</v>
      </c>
      <c r="K70" s="83" t="s">
        <v>282</v>
      </c>
    </row>
    <row r="71" spans="1:11" x14ac:dyDescent="0.2">
      <c r="A71" s="177" t="s">
        <v>141</v>
      </c>
      <c r="B71" s="176" t="s">
        <v>140</v>
      </c>
      <c r="C71" s="175"/>
      <c r="D71" s="174">
        <f>7075/(7.5345)</f>
        <v>939.01386953347924</v>
      </c>
      <c r="E71" s="173">
        <v>526.25</v>
      </c>
      <c r="F71" s="173">
        <v>1060</v>
      </c>
      <c r="G71" s="172">
        <v>526.25</v>
      </c>
      <c r="H71" s="172">
        <v>533.75</v>
      </c>
      <c r="I71" s="171">
        <f>(E71/D71)*100</f>
        <v>56.042835689045944</v>
      </c>
      <c r="J71" s="170">
        <f>(E71/F71)*100</f>
        <v>49.64622641509434</v>
      </c>
      <c r="K71" s="83" t="s">
        <v>281</v>
      </c>
    </row>
    <row r="72" spans="1:11" x14ac:dyDescent="0.2">
      <c r="A72" s="177" t="s">
        <v>139</v>
      </c>
      <c r="B72" s="176" t="s">
        <v>138</v>
      </c>
      <c r="C72" s="175"/>
      <c r="D72" s="174">
        <f>3410/(7.5345)</f>
        <v>452.5847766938748</v>
      </c>
      <c r="E72" s="173">
        <v>172.36</v>
      </c>
      <c r="F72" s="173">
        <v>930</v>
      </c>
      <c r="G72" s="172">
        <v>172.36</v>
      </c>
      <c r="H72" s="172">
        <v>757.64</v>
      </c>
      <c r="I72" s="171">
        <f>(E72/D72)*100</f>
        <v>38.083472727272735</v>
      </c>
      <c r="J72" s="170">
        <f>(E72/F72)*100</f>
        <v>18.533333333333335</v>
      </c>
    </row>
    <row r="73" spans="1:11" x14ac:dyDescent="0.2">
      <c r="A73" s="177" t="s">
        <v>137</v>
      </c>
      <c r="B73" s="176" t="s">
        <v>123</v>
      </c>
      <c r="C73" s="175"/>
      <c r="D73" s="173">
        <f>D74+D75+D76+D77+D78+D79+D80</f>
        <v>8981.7851217731768</v>
      </c>
      <c r="E73" s="173">
        <v>9633.67</v>
      </c>
      <c r="F73" s="173">
        <v>31530</v>
      </c>
      <c r="G73" s="172">
        <v>9633.67</v>
      </c>
      <c r="H73" s="172">
        <v>21896.33</v>
      </c>
      <c r="I73" s="171">
        <f>(E73/D73)*100</f>
        <v>107.25785430611737</v>
      </c>
      <c r="J73" s="170">
        <f>(E73/F73)*100</f>
        <v>30.55398033618776</v>
      </c>
    </row>
    <row r="74" spans="1:11" x14ac:dyDescent="0.2">
      <c r="A74" s="177" t="s">
        <v>136</v>
      </c>
      <c r="B74" s="176" t="s">
        <v>135</v>
      </c>
      <c r="C74" s="175"/>
      <c r="D74" s="174">
        <f>4962.42/(7.5345)</f>
        <v>658.62631893290859</v>
      </c>
      <c r="E74" s="173">
        <v>2278.79</v>
      </c>
      <c r="F74" s="173">
        <v>2260</v>
      </c>
      <c r="G74" s="172">
        <v>2278.79</v>
      </c>
      <c r="H74" s="172">
        <v>-18.79</v>
      </c>
      <c r="I74" s="171">
        <f>(E74/D74)*100</f>
        <v>345.99133598123501</v>
      </c>
      <c r="J74" s="170">
        <f>(E74/F74)*100</f>
        <v>100.83141592920353</v>
      </c>
      <c r="K74" s="83" t="s">
        <v>280</v>
      </c>
    </row>
    <row r="75" spans="1:11" x14ac:dyDescent="0.2">
      <c r="A75" s="177" t="s">
        <v>134</v>
      </c>
      <c r="B75" s="176" t="s">
        <v>133</v>
      </c>
      <c r="C75" s="175"/>
      <c r="D75" s="174">
        <f>0/(7.5345)</f>
        <v>0</v>
      </c>
      <c r="E75" s="173">
        <v>71.2</v>
      </c>
      <c r="F75" s="173">
        <v>930</v>
      </c>
      <c r="G75" s="172">
        <v>71.2</v>
      </c>
      <c r="H75" s="172">
        <v>858.8</v>
      </c>
      <c r="I75" s="171"/>
      <c r="J75" s="170">
        <f>(E75/F75)*100</f>
        <v>7.6559139784946248</v>
      </c>
    </row>
    <row r="76" spans="1:11" x14ac:dyDescent="0.2">
      <c r="A76" s="177" t="s">
        <v>132</v>
      </c>
      <c r="B76" s="176" t="s">
        <v>131</v>
      </c>
      <c r="C76" s="175"/>
      <c r="D76" s="174">
        <f>4144.72/(7.5345)</f>
        <v>550.09887849226891</v>
      </c>
      <c r="E76" s="173">
        <v>468.99</v>
      </c>
      <c r="F76" s="173">
        <v>270</v>
      </c>
      <c r="G76" s="172">
        <v>468.99</v>
      </c>
      <c r="H76" s="172">
        <v>-198.99</v>
      </c>
      <c r="I76" s="171">
        <f>(E76/D76)*100</f>
        <v>85.255581921094787</v>
      </c>
      <c r="J76" s="170">
        <f>(E76/F76)*100</f>
        <v>173.70000000000002</v>
      </c>
    </row>
    <row r="77" spans="1:11" x14ac:dyDescent="0.2">
      <c r="A77" s="177" t="s">
        <v>130</v>
      </c>
      <c r="B77" s="176" t="s">
        <v>129</v>
      </c>
      <c r="C77" s="175"/>
      <c r="D77" s="174">
        <f>0/(7.5345)</f>
        <v>0</v>
      </c>
      <c r="E77" s="173">
        <v>35</v>
      </c>
      <c r="F77" s="173">
        <v>130</v>
      </c>
      <c r="G77" s="172">
        <v>35</v>
      </c>
      <c r="H77" s="172">
        <v>95</v>
      </c>
      <c r="I77" s="171"/>
      <c r="J77" s="170">
        <f>(E77/F77)*100</f>
        <v>26.923076923076923</v>
      </c>
    </row>
    <row r="78" spans="1:11" x14ac:dyDescent="0.2">
      <c r="A78" s="177" t="s">
        <v>128</v>
      </c>
      <c r="B78" s="176" t="s">
        <v>127</v>
      </c>
      <c r="C78" s="175"/>
      <c r="D78" s="174">
        <f>5400/(7.5345)</f>
        <v>716.7031654389807</v>
      </c>
      <c r="E78" s="173">
        <v>0</v>
      </c>
      <c r="F78" s="173">
        <v>900</v>
      </c>
      <c r="G78" s="172">
        <v>0</v>
      </c>
      <c r="H78" s="172">
        <v>900</v>
      </c>
      <c r="I78" s="171">
        <f>(E78/D78)*100</f>
        <v>0</v>
      </c>
      <c r="J78" s="170">
        <f>(E78/F78)*100</f>
        <v>0</v>
      </c>
    </row>
    <row r="79" spans="1:11" x14ac:dyDescent="0.2">
      <c r="A79" s="177" t="s">
        <v>126</v>
      </c>
      <c r="B79" s="176" t="s">
        <v>125</v>
      </c>
      <c r="C79" s="175"/>
      <c r="D79" s="174">
        <f>0/(7.5345)</f>
        <v>0</v>
      </c>
      <c r="E79" s="173">
        <v>0</v>
      </c>
      <c r="F79" s="173">
        <v>20000</v>
      </c>
      <c r="G79" s="172">
        <v>0</v>
      </c>
      <c r="H79" s="172">
        <v>20000</v>
      </c>
      <c r="I79" s="171"/>
      <c r="J79" s="170">
        <f>(E79/F79)*100</f>
        <v>0</v>
      </c>
    </row>
    <row r="80" spans="1:11" x14ac:dyDescent="0.2">
      <c r="A80" s="177" t="s">
        <v>124</v>
      </c>
      <c r="B80" s="176" t="s">
        <v>123</v>
      </c>
      <c r="C80" s="175"/>
      <c r="D80" s="174">
        <f>53166.12/(7.5345)</f>
        <v>7056.356758909018</v>
      </c>
      <c r="E80" s="173">
        <v>6779.69</v>
      </c>
      <c r="F80" s="173">
        <v>7040</v>
      </c>
      <c r="G80" s="172">
        <v>6779.69</v>
      </c>
      <c r="H80" s="172">
        <v>260.31</v>
      </c>
      <c r="I80" s="171">
        <f>(E80/D80)*100</f>
        <v>96.079184083773654</v>
      </c>
      <c r="J80" s="170">
        <f>(E80/F80)*100</f>
        <v>96.302414772727261</v>
      </c>
      <c r="K80" s="83" t="s">
        <v>279</v>
      </c>
    </row>
    <row r="81" spans="1:11" x14ac:dyDescent="0.2">
      <c r="A81" s="177" t="s">
        <v>122</v>
      </c>
      <c r="B81" s="176" t="s">
        <v>121</v>
      </c>
      <c r="C81" s="175"/>
      <c r="D81" s="173">
        <f>D82</f>
        <v>238.04366580396839</v>
      </c>
      <c r="E81" s="173">
        <v>275.56</v>
      </c>
      <c r="F81" s="173">
        <v>660</v>
      </c>
      <c r="G81" s="172">
        <v>275.56</v>
      </c>
      <c r="H81" s="172">
        <v>384.44</v>
      </c>
      <c r="I81" s="171">
        <f>(E81/D81)*100</f>
        <v>115.76027409480693</v>
      </c>
      <c r="J81" s="170">
        <f>(E81/F81)*100</f>
        <v>41.75151515151515</v>
      </c>
      <c r="K81" s="83" t="s">
        <v>278</v>
      </c>
    </row>
    <row r="82" spans="1:11" x14ac:dyDescent="0.2">
      <c r="A82" s="177" t="s">
        <v>120</v>
      </c>
      <c r="B82" s="176" t="s">
        <v>119</v>
      </c>
      <c r="C82" s="175"/>
      <c r="D82" s="173">
        <f>D83+D84+D85</f>
        <v>238.04366580396839</v>
      </c>
      <c r="E82" s="173">
        <v>275.56</v>
      </c>
      <c r="F82" s="173">
        <v>660</v>
      </c>
      <c r="G82" s="172">
        <v>275.56</v>
      </c>
      <c r="H82" s="172">
        <v>384.44</v>
      </c>
      <c r="I82" s="171">
        <f>(E82/D82)*100</f>
        <v>115.76027409480693</v>
      </c>
      <c r="J82" s="170">
        <f>(E82/F82)*100</f>
        <v>41.75151515151515</v>
      </c>
    </row>
    <row r="83" spans="1:11" x14ac:dyDescent="0.2">
      <c r="A83" s="177" t="s">
        <v>118</v>
      </c>
      <c r="B83" s="176" t="s">
        <v>117</v>
      </c>
      <c r="C83" s="175"/>
      <c r="D83" s="174">
        <f>1788.74/(7.5345)</f>
        <v>237.40659632357819</v>
      </c>
      <c r="E83" s="173">
        <v>275.56</v>
      </c>
      <c r="F83" s="173">
        <v>400</v>
      </c>
      <c r="G83" s="172">
        <v>275.56</v>
      </c>
      <c r="H83" s="172">
        <v>124.44</v>
      </c>
      <c r="I83" s="171">
        <f>(E83/D83)*100</f>
        <v>116.07091136777845</v>
      </c>
      <c r="J83" s="170">
        <f>(E83/F83)*100</f>
        <v>68.89</v>
      </c>
    </row>
    <row r="84" spans="1:11" x14ac:dyDescent="0.2">
      <c r="A84" s="177" t="s">
        <v>116</v>
      </c>
      <c r="B84" s="176" t="s">
        <v>115</v>
      </c>
      <c r="C84" s="175"/>
      <c r="D84" s="174">
        <f>4.74/(7.5345)</f>
        <v>0.6291061118853275</v>
      </c>
      <c r="E84" s="173">
        <v>0</v>
      </c>
      <c r="F84" s="173">
        <v>130</v>
      </c>
      <c r="G84" s="172">
        <v>0</v>
      </c>
      <c r="H84" s="172">
        <v>130</v>
      </c>
      <c r="I84" s="171">
        <f>(E84/D84)*100</f>
        <v>0</v>
      </c>
      <c r="J84" s="170">
        <f>(E84/F84)*100</f>
        <v>0</v>
      </c>
    </row>
    <row r="85" spans="1:11" x14ac:dyDescent="0.2">
      <c r="A85" s="177" t="s">
        <v>114</v>
      </c>
      <c r="B85" s="176" t="s">
        <v>113</v>
      </c>
      <c r="C85" s="175"/>
      <c r="D85" s="174">
        <f>0.06/(7.5345)</f>
        <v>7.9633685048775618E-3</v>
      </c>
      <c r="E85" s="173">
        <v>0</v>
      </c>
      <c r="F85" s="173">
        <v>130</v>
      </c>
      <c r="G85" s="172">
        <v>0</v>
      </c>
      <c r="H85" s="172">
        <v>130</v>
      </c>
      <c r="I85" s="171">
        <f>(E85/D85)*100</f>
        <v>0</v>
      </c>
      <c r="J85" s="170">
        <f>(E85/F85)*100</f>
        <v>0</v>
      </c>
    </row>
    <row r="86" spans="1:11" x14ac:dyDescent="0.2">
      <c r="A86" s="177" t="s">
        <v>112</v>
      </c>
      <c r="B86" s="176" t="s">
        <v>111</v>
      </c>
      <c r="C86" s="175"/>
      <c r="D86" s="173">
        <f>D87</f>
        <v>1194.5052757316344</v>
      </c>
      <c r="E86" s="173">
        <v>460</v>
      </c>
      <c r="F86" s="173">
        <v>1790</v>
      </c>
      <c r="G86" s="172">
        <v>460</v>
      </c>
      <c r="H86" s="172">
        <v>1330</v>
      </c>
      <c r="I86" s="171">
        <f>(E86/D86)*100</f>
        <v>38.509666666666668</v>
      </c>
      <c r="J86" s="170">
        <f>(E86/F86)*100</f>
        <v>25.69832402234637</v>
      </c>
    </row>
    <row r="87" spans="1:11" x14ac:dyDescent="0.2">
      <c r="A87" s="177" t="s">
        <v>110</v>
      </c>
      <c r="B87" s="176" t="s">
        <v>109</v>
      </c>
      <c r="C87" s="175"/>
      <c r="D87" s="173">
        <f>D88+D89</f>
        <v>1194.5052757316344</v>
      </c>
      <c r="E87" s="173">
        <v>460</v>
      </c>
      <c r="F87" s="173">
        <v>1790</v>
      </c>
      <c r="G87" s="172">
        <v>460</v>
      </c>
      <c r="H87" s="172">
        <v>1330</v>
      </c>
      <c r="I87" s="171">
        <f>(E87/D87)*100</f>
        <v>38.509666666666668</v>
      </c>
      <c r="J87" s="170">
        <f>(E87/F87)*100</f>
        <v>25.69832402234637</v>
      </c>
    </row>
    <row r="88" spans="1:11" x14ac:dyDescent="0.2">
      <c r="A88" s="177" t="s">
        <v>108</v>
      </c>
      <c r="B88" s="176" t="s">
        <v>107</v>
      </c>
      <c r="C88" s="175"/>
      <c r="D88" s="174">
        <f>9000/(7.5345)</f>
        <v>1194.5052757316344</v>
      </c>
      <c r="E88" s="173">
        <v>460</v>
      </c>
      <c r="F88" s="173">
        <v>1790</v>
      </c>
      <c r="G88" s="172">
        <v>460</v>
      </c>
      <c r="H88" s="172">
        <v>1330</v>
      </c>
      <c r="I88" s="171">
        <f>(E88/D88)*100</f>
        <v>38.509666666666668</v>
      </c>
      <c r="J88" s="170">
        <f>(E88/F88)*100</f>
        <v>25.69832402234637</v>
      </c>
    </row>
    <row r="89" spans="1:11" x14ac:dyDescent="0.2">
      <c r="A89" s="177" t="s">
        <v>106</v>
      </c>
      <c r="B89" s="176" t="s">
        <v>105</v>
      </c>
      <c r="C89" s="175"/>
      <c r="D89" s="174">
        <f>0/(7.5345)</f>
        <v>0</v>
      </c>
      <c r="E89" s="173">
        <v>0</v>
      </c>
      <c r="F89" s="173">
        <v>0</v>
      </c>
      <c r="G89" s="172">
        <v>0</v>
      </c>
      <c r="H89" s="172">
        <v>0</v>
      </c>
      <c r="I89" s="171"/>
      <c r="J89" s="170"/>
    </row>
    <row r="90" spans="1:11" x14ac:dyDescent="0.2">
      <c r="A90" s="177" t="s">
        <v>104</v>
      </c>
      <c r="B90" s="176" t="s">
        <v>103</v>
      </c>
      <c r="C90" s="175"/>
      <c r="D90" s="173">
        <f>D91</f>
        <v>0</v>
      </c>
      <c r="E90" s="173">
        <v>1624.7</v>
      </c>
      <c r="F90" s="173">
        <v>0</v>
      </c>
      <c r="G90" s="172">
        <v>1624.7</v>
      </c>
      <c r="H90" s="172">
        <v>-1624.7</v>
      </c>
      <c r="I90" s="171"/>
      <c r="J90" s="170"/>
    </row>
    <row r="91" spans="1:11" x14ac:dyDescent="0.2">
      <c r="A91" s="177" t="s">
        <v>102</v>
      </c>
      <c r="B91" s="176" t="s">
        <v>35</v>
      </c>
      <c r="C91" s="175"/>
      <c r="D91" s="173">
        <f>D92</f>
        <v>0</v>
      </c>
      <c r="E91" s="173">
        <v>1624.7</v>
      </c>
      <c r="F91" s="173">
        <v>0</v>
      </c>
      <c r="G91" s="172">
        <v>1624.7</v>
      </c>
      <c r="H91" s="172">
        <v>-1624.7</v>
      </c>
      <c r="I91" s="171"/>
      <c r="J91" s="170"/>
    </row>
    <row r="92" spans="1:11" x14ac:dyDescent="0.2">
      <c r="A92" s="177" t="s">
        <v>101</v>
      </c>
      <c r="B92" s="176" t="s">
        <v>100</v>
      </c>
      <c r="C92" s="175"/>
      <c r="D92" s="174">
        <v>0</v>
      </c>
      <c r="E92" s="173">
        <v>1624.7</v>
      </c>
      <c r="F92" s="173">
        <v>0</v>
      </c>
      <c r="G92" s="172">
        <v>1624.7</v>
      </c>
      <c r="H92" s="172">
        <v>-1624.7</v>
      </c>
      <c r="I92" s="171"/>
      <c r="J92" s="170"/>
    </row>
    <row r="93" spans="1:11" x14ac:dyDescent="0.2">
      <c r="A93" s="177" t="s">
        <v>22</v>
      </c>
      <c r="B93" s="176" t="s">
        <v>23</v>
      </c>
      <c r="C93" s="175"/>
      <c r="D93" s="173">
        <f>D94+D97</f>
        <v>1427.4537129205653</v>
      </c>
      <c r="E93" s="173">
        <v>6792.92</v>
      </c>
      <c r="F93" s="173">
        <v>324270</v>
      </c>
      <c r="G93" s="172">
        <v>6792.92</v>
      </c>
      <c r="H93" s="172">
        <v>317477.08</v>
      </c>
      <c r="I93" s="171">
        <f>(E93/D93)*100</f>
        <v>475.87672640548948</v>
      </c>
      <c r="J93" s="170">
        <f>(E93/F93)*100</f>
        <v>2.094834551454035</v>
      </c>
      <c r="K93" s="83" t="s">
        <v>277</v>
      </c>
    </row>
    <row r="94" spans="1:11" x14ac:dyDescent="0.2">
      <c r="A94" s="177" t="s">
        <v>99</v>
      </c>
      <c r="B94" s="176" t="s">
        <v>98</v>
      </c>
      <c r="C94" s="175"/>
      <c r="D94" s="173">
        <f>D95</f>
        <v>0</v>
      </c>
      <c r="E94" s="173">
        <v>0</v>
      </c>
      <c r="F94" s="173">
        <v>0</v>
      </c>
      <c r="G94" s="172">
        <v>0</v>
      </c>
      <c r="H94" s="172">
        <v>0</v>
      </c>
      <c r="I94" s="171"/>
      <c r="J94" s="170"/>
    </row>
    <row r="95" spans="1:11" x14ac:dyDescent="0.2">
      <c r="A95" s="177" t="s">
        <v>97</v>
      </c>
      <c r="B95" s="176" t="s">
        <v>96</v>
      </c>
      <c r="C95" s="175"/>
      <c r="D95" s="173">
        <f>D96</f>
        <v>0</v>
      </c>
      <c r="E95" s="173">
        <v>0</v>
      </c>
      <c r="F95" s="173">
        <v>0</v>
      </c>
      <c r="G95" s="172">
        <v>0</v>
      </c>
      <c r="H95" s="172">
        <v>0</v>
      </c>
      <c r="I95" s="171"/>
      <c r="J95" s="170"/>
    </row>
    <row r="96" spans="1:11" x14ac:dyDescent="0.2">
      <c r="A96" s="177" t="s">
        <v>95</v>
      </c>
      <c r="B96" s="176" t="s">
        <v>94</v>
      </c>
      <c r="C96" s="175"/>
      <c r="D96" s="173">
        <v>0</v>
      </c>
      <c r="E96" s="173">
        <v>0</v>
      </c>
      <c r="F96" s="173">
        <v>0</v>
      </c>
      <c r="G96" s="172">
        <v>0</v>
      </c>
      <c r="H96" s="172">
        <v>0</v>
      </c>
      <c r="I96" s="171"/>
      <c r="J96" s="170"/>
    </row>
    <row r="97" spans="1:10" x14ac:dyDescent="0.2">
      <c r="A97" s="177" t="s">
        <v>93</v>
      </c>
      <c r="B97" s="176" t="s">
        <v>92</v>
      </c>
      <c r="C97" s="175"/>
      <c r="D97" s="173">
        <f>D98+D100+D105</f>
        <v>1427.4537129205653</v>
      </c>
      <c r="E97" s="173">
        <v>6792.92</v>
      </c>
      <c r="F97" s="173">
        <v>324270</v>
      </c>
      <c r="G97" s="172">
        <v>6792.92</v>
      </c>
      <c r="H97" s="172">
        <v>317477.08</v>
      </c>
      <c r="I97" s="171">
        <f>(E97/D97)*100</f>
        <v>475.87672640548948</v>
      </c>
      <c r="J97" s="170">
        <f>(E97/F97)*100</f>
        <v>2.094834551454035</v>
      </c>
    </row>
    <row r="98" spans="1:10" x14ac:dyDescent="0.2">
      <c r="A98" s="177" t="s">
        <v>91</v>
      </c>
      <c r="B98" s="176" t="s">
        <v>90</v>
      </c>
      <c r="C98" s="175"/>
      <c r="D98" s="173">
        <f>D99</f>
        <v>0</v>
      </c>
      <c r="E98" s="173">
        <v>0</v>
      </c>
      <c r="F98" s="173">
        <v>0</v>
      </c>
      <c r="G98" s="172">
        <v>0</v>
      </c>
      <c r="H98" s="172">
        <v>0</v>
      </c>
      <c r="I98" s="171"/>
      <c r="J98" s="170"/>
    </row>
    <row r="99" spans="1:10" x14ac:dyDescent="0.2">
      <c r="A99" s="177" t="s">
        <v>89</v>
      </c>
      <c r="B99" s="176" t="s">
        <v>88</v>
      </c>
      <c r="C99" s="175"/>
      <c r="D99" s="173">
        <v>0</v>
      </c>
      <c r="E99" s="173">
        <v>0</v>
      </c>
      <c r="F99" s="173">
        <v>0</v>
      </c>
      <c r="G99" s="172">
        <v>0</v>
      </c>
      <c r="H99" s="172">
        <v>0</v>
      </c>
      <c r="I99" s="171"/>
      <c r="J99" s="170"/>
    </row>
    <row r="100" spans="1:10" x14ac:dyDescent="0.2">
      <c r="A100" s="177" t="s">
        <v>87</v>
      </c>
      <c r="B100" s="176" t="s">
        <v>86</v>
      </c>
      <c r="C100" s="175"/>
      <c r="D100" s="173">
        <f>D101+D102+D103+D104</f>
        <v>750.94565000995419</v>
      </c>
      <c r="E100" s="173">
        <v>6607.8</v>
      </c>
      <c r="F100" s="173">
        <v>273020</v>
      </c>
      <c r="G100" s="172">
        <v>6607.8</v>
      </c>
      <c r="H100" s="172">
        <v>266412.2</v>
      </c>
      <c r="I100" s="171">
        <f>(E100/D100)*100</f>
        <v>879.93052492046661</v>
      </c>
      <c r="J100" s="170">
        <f>(E100/F100)*100</f>
        <v>2.4202622518496817</v>
      </c>
    </row>
    <row r="101" spans="1:10" x14ac:dyDescent="0.2">
      <c r="A101" s="177" t="s">
        <v>85</v>
      </c>
      <c r="B101" s="176" t="s">
        <v>84</v>
      </c>
      <c r="C101" s="175"/>
      <c r="D101" s="174">
        <f>5658/(7.5345)</f>
        <v>750.94565000995419</v>
      </c>
      <c r="E101" s="173">
        <v>6607.8</v>
      </c>
      <c r="F101" s="173">
        <v>257020</v>
      </c>
      <c r="G101" s="172">
        <v>6607.8</v>
      </c>
      <c r="H101" s="172">
        <v>250412.2</v>
      </c>
      <c r="I101" s="171">
        <f>(E101/D101)*100</f>
        <v>879.93052492046661</v>
      </c>
      <c r="J101" s="170">
        <f>(E101/F101)*100</f>
        <v>2.5709283324254919</v>
      </c>
    </row>
    <row r="102" spans="1:10" x14ac:dyDescent="0.2">
      <c r="A102" s="177" t="s">
        <v>83</v>
      </c>
      <c r="B102" s="176" t="s">
        <v>82</v>
      </c>
      <c r="C102" s="175"/>
      <c r="D102" s="173">
        <v>0</v>
      </c>
      <c r="E102" s="173">
        <v>0</v>
      </c>
      <c r="F102" s="173">
        <v>15000</v>
      </c>
      <c r="G102" s="172">
        <v>0</v>
      </c>
      <c r="H102" s="172">
        <v>15000</v>
      </c>
      <c r="I102" s="171"/>
      <c r="J102" s="170">
        <f>(E102/F102)*100</f>
        <v>0</v>
      </c>
    </row>
    <row r="103" spans="1:10" x14ac:dyDescent="0.2">
      <c r="A103" s="177" t="s">
        <v>81</v>
      </c>
      <c r="B103" s="176" t="s">
        <v>80</v>
      </c>
      <c r="C103" s="175"/>
      <c r="D103" s="173">
        <v>0</v>
      </c>
      <c r="E103" s="173">
        <v>0</v>
      </c>
      <c r="F103" s="173">
        <v>1000</v>
      </c>
      <c r="G103" s="172">
        <v>0</v>
      </c>
      <c r="H103" s="172">
        <v>1000</v>
      </c>
      <c r="I103" s="171"/>
      <c r="J103" s="170">
        <f>(E103/F103)*100</f>
        <v>0</v>
      </c>
    </row>
    <row r="104" spans="1:10" x14ac:dyDescent="0.2">
      <c r="A104" s="177" t="s">
        <v>79</v>
      </c>
      <c r="B104" s="176" t="s">
        <v>78</v>
      </c>
      <c r="C104" s="175"/>
      <c r="D104" s="173">
        <v>0</v>
      </c>
      <c r="E104" s="173">
        <v>0</v>
      </c>
      <c r="F104" s="173">
        <v>0</v>
      </c>
      <c r="G104" s="172">
        <v>0</v>
      </c>
      <c r="H104" s="172">
        <v>0</v>
      </c>
      <c r="I104" s="171"/>
      <c r="J104" s="170"/>
    </row>
    <row r="105" spans="1:10" x14ac:dyDescent="0.2">
      <c r="A105" s="177" t="s">
        <v>77</v>
      </c>
      <c r="B105" s="176" t="s">
        <v>76</v>
      </c>
      <c r="C105" s="175"/>
      <c r="D105" s="173">
        <f>D106</f>
        <v>676.5080629106111</v>
      </c>
      <c r="E105" s="173">
        <v>185.12</v>
      </c>
      <c r="F105" s="173">
        <v>51250</v>
      </c>
      <c r="G105" s="172">
        <v>185.12</v>
      </c>
      <c r="H105" s="172">
        <v>51064.88</v>
      </c>
      <c r="I105" s="171">
        <f>(E105/D105)*100</f>
        <v>27.364049321679769</v>
      </c>
      <c r="J105" s="170">
        <f>(E105/F105)*100</f>
        <v>0.36120975609756101</v>
      </c>
    </row>
    <row r="106" spans="1:10" x14ac:dyDescent="0.2">
      <c r="A106" s="177" t="s">
        <v>75</v>
      </c>
      <c r="B106" s="176" t="s">
        <v>74</v>
      </c>
      <c r="C106" s="175"/>
      <c r="D106" s="174">
        <f>5097.15/(7.5345)</f>
        <v>676.5080629106111</v>
      </c>
      <c r="E106" s="173">
        <v>185.12</v>
      </c>
      <c r="F106" s="173">
        <v>51250</v>
      </c>
      <c r="G106" s="172">
        <v>185.12</v>
      </c>
      <c r="H106" s="172">
        <v>51064.88</v>
      </c>
      <c r="I106" s="171">
        <f>(E106/D106)*100</f>
        <v>27.364049321679769</v>
      </c>
      <c r="J106" s="170">
        <f>(E106/F106)*100</f>
        <v>0.36120975609756101</v>
      </c>
    </row>
  </sheetData>
  <mergeCells count="31">
    <mergeCell ref="B6:C6"/>
    <mergeCell ref="B8:C8"/>
    <mergeCell ref="B7:C7"/>
    <mergeCell ref="B10:C10"/>
    <mergeCell ref="B9:C9"/>
    <mergeCell ref="B12:C12"/>
    <mergeCell ref="B11:C11"/>
    <mergeCell ref="B14:C14"/>
    <mergeCell ref="A1:C1"/>
    <mergeCell ref="A2:C2"/>
    <mergeCell ref="A3:C3"/>
    <mergeCell ref="B22:C22"/>
    <mergeCell ref="B21:C21"/>
    <mergeCell ref="C4:F4"/>
    <mergeCell ref="A5:C5"/>
    <mergeCell ref="B13:C13"/>
    <mergeCell ref="B19:C19"/>
    <mergeCell ref="B15:C15"/>
    <mergeCell ref="B18:C18"/>
    <mergeCell ref="B38:C38"/>
    <mergeCell ref="A36:C36"/>
    <mergeCell ref="B37:C37"/>
    <mergeCell ref="B27:C27"/>
    <mergeCell ref="B26:C26"/>
    <mergeCell ref="B32:C32"/>
    <mergeCell ref="B25:C25"/>
    <mergeCell ref="B17:C17"/>
    <mergeCell ref="B20:C20"/>
    <mergeCell ref="B24:C24"/>
    <mergeCell ref="B23:C23"/>
    <mergeCell ref="B16:C16"/>
  </mergeCells>
  <pageMargins left="0" right="0" top="0" bottom="0.39375000000000004" header="0" footer="0"/>
  <pageSetup paperSize="9" scale="87" fitToHeight="0" orientation="landscape" r:id="rId1"/>
  <headerFooter alignWithMargins="0">
    <oddFooter xml:space="preserve">&amp;L&amp;"Arial"&amp;8 Lista: LCW148RBPR &amp;C&amp;"Arial"&amp;8 Stranica 
&amp;B&amp;P&amp;B &amp;R&amp;"Arial"&amp;8 * OBRADA LC * 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88"/>
  <sheetViews>
    <sheetView topLeftCell="A141" workbookViewId="0">
      <selection activeCell="G4" sqref="G4"/>
    </sheetView>
  </sheetViews>
  <sheetFormatPr defaultRowHeight="12.75" x14ac:dyDescent="0.2"/>
  <cols>
    <col min="1" max="1" width="1.28515625" style="115" customWidth="1"/>
    <col min="2" max="2" width="11.5703125" style="115" customWidth="1"/>
    <col min="3" max="3" width="14.28515625" style="115" customWidth="1"/>
    <col min="4" max="4" width="13.7109375" style="115" customWidth="1"/>
    <col min="5" max="5" width="16.42578125" style="115" customWidth="1"/>
    <col min="6" max="6" width="18.5703125" style="115" customWidth="1"/>
    <col min="7" max="7" width="12.140625" style="115" customWidth="1"/>
    <col min="8" max="8" width="12" style="115" customWidth="1"/>
    <col min="9" max="9" width="10.140625" style="115" customWidth="1"/>
    <col min="10" max="10" width="0.140625" style="115" customWidth="1"/>
    <col min="11" max="11" width="1" style="115" customWidth="1"/>
    <col min="12" max="12" width="7" style="115" customWidth="1"/>
    <col min="13" max="13" width="0.85546875" style="115" customWidth="1"/>
    <col min="14" max="14" width="3.28515625" style="115" customWidth="1"/>
    <col min="15" max="15" width="10.28515625" style="115" customWidth="1"/>
    <col min="16" max="16" width="1" style="115" customWidth="1"/>
    <col min="17" max="17" width="12.42578125" style="115" customWidth="1"/>
    <col min="18" max="20" width="9.140625" style="115"/>
  </cols>
  <sheetData>
    <row r="2" spans="2:18" x14ac:dyDescent="0.2">
      <c r="B2" s="116" t="s">
        <v>0</v>
      </c>
      <c r="C2" s="117"/>
      <c r="D2" s="117"/>
      <c r="E2" s="117"/>
      <c r="F2" s="117"/>
    </row>
    <row r="3" spans="2:18" x14ac:dyDescent="0.2">
      <c r="B3" s="117"/>
      <c r="C3" s="117"/>
      <c r="D3" s="117"/>
      <c r="E3" s="117"/>
      <c r="F3" s="117"/>
      <c r="J3" s="118"/>
      <c r="K3" s="117"/>
      <c r="L3" s="117"/>
      <c r="N3" s="119"/>
      <c r="O3" s="117"/>
    </row>
    <row r="4" spans="2:18" x14ac:dyDescent="0.2">
      <c r="B4" s="116" t="s">
        <v>1</v>
      </c>
      <c r="C4" s="117"/>
      <c r="D4" s="117"/>
      <c r="E4" s="117"/>
      <c r="J4" s="117"/>
      <c r="K4" s="117"/>
      <c r="L4" s="117"/>
      <c r="N4" s="117"/>
      <c r="O4" s="117"/>
    </row>
    <row r="5" spans="2:18" x14ac:dyDescent="0.2">
      <c r="B5" s="117"/>
      <c r="C5" s="117"/>
      <c r="D5" s="117"/>
      <c r="E5" s="117"/>
    </row>
    <row r="6" spans="2:18" x14ac:dyDescent="0.2">
      <c r="B6" s="116" t="s">
        <v>2</v>
      </c>
      <c r="C6" s="117"/>
      <c r="D6" s="117"/>
    </row>
    <row r="8" spans="2:18" x14ac:dyDescent="0.2">
      <c r="D8" s="120" t="s">
        <v>308</v>
      </c>
      <c r="E8" s="117"/>
      <c r="F8" s="117"/>
      <c r="G8" s="117"/>
      <c r="H8" s="117"/>
      <c r="I8" s="117"/>
      <c r="J8" s="117"/>
    </row>
    <row r="9" spans="2:18" ht="13.5" thickBot="1" x14ac:dyDescent="0.25"/>
    <row r="10" spans="2:18" ht="52.5" thickTop="1" thickBot="1" x14ac:dyDescent="0.25">
      <c r="B10" s="121" t="s">
        <v>3</v>
      </c>
      <c r="C10" s="122"/>
      <c r="D10" s="122"/>
      <c r="E10" s="122"/>
      <c r="F10" s="122"/>
      <c r="G10" s="123" t="s">
        <v>4</v>
      </c>
      <c r="H10" s="124" t="s">
        <v>230</v>
      </c>
      <c r="I10" s="121" t="s">
        <v>231</v>
      </c>
      <c r="J10" s="122"/>
      <c r="K10" s="122"/>
      <c r="L10" s="121" t="s">
        <v>5</v>
      </c>
      <c r="M10" s="122"/>
      <c r="N10" s="122"/>
      <c r="O10" s="121" t="s">
        <v>6</v>
      </c>
      <c r="P10" s="122"/>
      <c r="Q10" s="125" t="s">
        <v>27</v>
      </c>
    </row>
    <row r="11" spans="2:18" ht="14.25" thickTop="1" thickBot="1" x14ac:dyDescent="0.25">
      <c r="B11" s="124" t="s">
        <v>7</v>
      </c>
      <c r="C11" s="126" t="s">
        <v>8</v>
      </c>
      <c r="D11" s="127"/>
      <c r="E11" s="127"/>
      <c r="F11" s="127"/>
      <c r="G11" s="124" t="s">
        <v>9</v>
      </c>
      <c r="H11" s="124" t="s">
        <v>10</v>
      </c>
      <c r="I11" s="121" t="s">
        <v>11</v>
      </c>
      <c r="J11" s="122"/>
      <c r="K11" s="122"/>
      <c r="L11" s="121" t="s">
        <v>12</v>
      </c>
      <c r="M11" s="122"/>
      <c r="N11" s="122"/>
      <c r="O11" s="121" t="s">
        <v>13</v>
      </c>
      <c r="P11" s="122"/>
      <c r="Q11" s="128"/>
    </row>
    <row r="12" spans="2:18" ht="13.5" thickTop="1" x14ac:dyDescent="0.2">
      <c r="B12" s="129"/>
      <c r="C12" s="130" t="s">
        <v>19</v>
      </c>
      <c r="D12" s="117"/>
      <c r="E12" s="117"/>
      <c r="F12" s="117"/>
      <c r="G12" s="131">
        <v>1540220</v>
      </c>
      <c r="H12" s="131">
        <v>583939.94999999995</v>
      </c>
      <c r="I12" s="132">
        <v>0</v>
      </c>
      <c r="J12" s="117"/>
      <c r="K12" s="117"/>
      <c r="L12" s="132">
        <v>583939.94999999995</v>
      </c>
      <c r="M12" s="117"/>
      <c r="N12" s="117"/>
      <c r="O12" s="132">
        <v>956280.05</v>
      </c>
      <c r="P12" s="117"/>
      <c r="Q12" s="133">
        <f>(H12/G12)*100</f>
        <v>37.912762462505356</v>
      </c>
      <c r="R12" s="115" t="s">
        <v>286</v>
      </c>
    </row>
    <row r="13" spans="2:18" x14ac:dyDescent="0.2">
      <c r="B13" s="134" t="s">
        <v>232</v>
      </c>
      <c r="C13" s="135" t="s">
        <v>233</v>
      </c>
      <c r="D13" s="117"/>
      <c r="E13" s="117"/>
      <c r="F13" s="117"/>
      <c r="G13" s="136">
        <v>1540220</v>
      </c>
      <c r="H13" s="136">
        <v>583939.94999999995</v>
      </c>
      <c r="I13" s="137">
        <v>0</v>
      </c>
      <c r="J13" s="117"/>
      <c r="K13" s="117"/>
      <c r="L13" s="137">
        <v>583939.94999999995</v>
      </c>
      <c r="M13" s="117"/>
      <c r="N13" s="117"/>
      <c r="O13" s="137">
        <v>956280.05</v>
      </c>
      <c r="P13" s="117"/>
      <c r="Q13" s="138">
        <f t="shared" ref="Q13:Q76" si="0">(H13/G13)*100</f>
        <v>37.912762462505356</v>
      </c>
      <c r="R13" s="115" t="s">
        <v>285</v>
      </c>
    </row>
    <row r="14" spans="2:18" ht="22.5" x14ac:dyDescent="0.2">
      <c r="B14" s="139" t="s">
        <v>234</v>
      </c>
      <c r="C14" s="140" t="s">
        <v>235</v>
      </c>
      <c r="D14" s="117"/>
      <c r="E14" s="117"/>
      <c r="F14" s="117"/>
      <c r="G14" s="141">
        <v>1540220</v>
      </c>
      <c r="H14" s="141">
        <v>583939.94999999995</v>
      </c>
      <c r="I14" s="142">
        <v>0</v>
      </c>
      <c r="J14" s="117"/>
      <c r="K14" s="117"/>
      <c r="L14" s="142">
        <v>583939.94999999995</v>
      </c>
      <c r="M14" s="117"/>
      <c r="N14" s="117"/>
      <c r="O14" s="142">
        <v>956280.05</v>
      </c>
      <c r="P14" s="117"/>
      <c r="Q14" s="138">
        <f t="shared" si="0"/>
        <v>37.912762462505356</v>
      </c>
    </row>
    <row r="15" spans="2:18" ht="33.75" x14ac:dyDescent="0.2">
      <c r="B15" s="143" t="s">
        <v>236</v>
      </c>
      <c r="C15" s="144" t="s">
        <v>0</v>
      </c>
      <c r="D15" s="117"/>
      <c r="E15" s="117"/>
      <c r="F15" s="117"/>
      <c r="G15" s="145">
        <v>1540220</v>
      </c>
      <c r="H15" s="145">
        <v>583939.94999999995</v>
      </c>
      <c r="I15" s="146">
        <v>0</v>
      </c>
      <c r="J15" s="117"/>
      <c r="K15" s="117"/>
      <c r="L15" s="146">
        <v>583939.94999999995</v>
      </c>
      <c r="M15" s="117"/>
      <c r="N15" s="117"/>
      <c r="O15" s="146">
        <v>956280.05</v>
      </c>
      <c r="P15" s="117"/>
      <c r="Q15" s="138">
        <f t="shared" si="0"/>
        <v>37.912762462505356</v>
      </c>
    </row>
    <row r="16" spans="2:18" x14ac:dyDescent="0.2">
      <c r="B16" s="147" t="s">
        <v>237</v>
      </c>
      <c r="C16" s="148" t="s">
        <v>238</v>
      </c>
      <c r="D16" s="117"/>
      <c r="E16" s="117"/>
      <c r="F16" s="117"/>
      <c r="G16" s="149">
        <v>384520</v>
      </c>
      <c r="H16" s="149">
        <v>48771.96</v>
      </c>
      <c r="I16" s="150">
        <v>0</v>
      </c>
      <c r="J16" s="117"/>
      <c r="K16" s="117"/>
      <c r="L16" s="150">
        <v>48771.96</v>
      </c>
      <c r="M16" s="117"/>
      <c r="N16" s="117"/>
      <c r="O16" s="150">
        <v>335748.04</v>
      </c>
      <c r="P16" s="117"/>
      <c r="Q16" s="151">
        <f t="shared" si="0"/>
        <v>12.683855196088631</v>
      </c>
      <c r="R16" s="115" t="s">
        <v>304</v>
      </c>
    </row>
    <row r="17" spans="2:17" x14ac:dyDescent="0.2">
      <c r="B17" s="152" t="s">
        <v>239</v>
      </c>
      <c r="C17" s="153" t="s">
        <v>238</v>
      </c>
      <c r="D17" s="117"/>
      <c r="E17" s="117"/>
      <c r="F17" s="117"/>
      <c r="G17" s="154">
        <v>309490</v>
      </c>
      <c r="H17" s="154">
        <v>10439.08</v>
      </c>
      <c r="I17" s="155">
        <v>0</v>
      </c>
      <c r="J17" s="117"/>
      <c r="K17" s="117"/>
      <c r="L17" s="155">
        <v>10439.08</v>
      </c>
      <c r="M17" s="117"/>
      <c r="N17" s="117"/>
      <c r="O17" s="155">
        <v>299050.92</v>
      </c>
      <c r="P17" s="117"/>
      <c r="Q17" s="151">
        <f t="shared" si="0"/>
        <v>3.372994280913761</v>
      </c>
    </row>
    <row r="18" spans="2:17" x14ac:dyDescent="0.2">
      <c r="B18" s="156" t="s">
        <v>240</v>
      </c>
      <c r="C18" s="157" t="s">
        <v>241</v>
      </c>
      <c r="D18" s="117"/>
      <c r="E18" s="117"/>
      <c r="F18" s="117"/>
      <c r="G18" s="158">
        <v>309490</v>
      </c>
      <c r="H18" s="158">
        <v>10439.08</v>
      </c>
      <c r="I18" s="159">
        <v>0</v>
      </c>
      <c r="J18" s="117"/>
      <c r="K18" s="117"/>
      <c r="L18" s="159">
        <v>10439.08</v>
      </c>
      <c r="M18" s="117"/>
      <c r="N18" s="117"/>
      <c r="O18" s="159">
        <v>299050.92</v>
      </c>
      <c r="P18" s="117"/>
      <c r="Q18" s="138">
        <f t="shared" si="0"/>
        <v>3.372994280913761</v>
      </c>
    </row>
    <row r="19" spans="2:17" ht="22.5" x14ac:dyDescent="0.2">
      <c r="B19" s="160" t="s">
        <v>242</v>
      </c>
      <c r="C19" s="161" t="s">
        <v>243</v>
      </c>
      <c r="D19" s="117"/>
      <c r="E19" s="117"/>
      <c r="F19" s="117"/>
      <c r="G19" s="162">
        <v>6780</v>
      </c>
      <c r="H19" s="162">
        <v>2278.79</v>
      </c>
      <c r="I19" s="163">
        <v>0</v>
      </c>
      <c r="J19" s="117"/>
      <c r="K19" s="117"/>
      <c r="L19" s="163">
        <v>2278.79</v>
      </c>
      <c r="M19" s="117"/>
      <c r="N19" s="117"/>
      <c r="O19" s="163">
        <v>4501.21</v>
      </c>
      <c r="P19" s="117"/>
      <c r="Q19" s="138">
        <f t="shared" si="0"/>
        <v>33.610471976401179</v>
      </c>
    </row>
    <row r="20" spans="2:17" x14ac:dyDescent="0.2">
      <c r="B20" s="164" t="s">
        <v>183</v>
      </c>
      <c r="C20" s="165" t="s">
        <v>182</v>
      </c>
      <c r="D20" s="117"/>
      <c r="E20" s="117"/>
      <c r="F20" s="117"/>
      <c r="G20" s="166">
        <v>6780</v>
      </c>
      <c r="H20" s="166">
        <v>2278.79</v>
      </c>
      <c r="I20" s="167">
        <v>0</v>
      </c>
      <c r="J20" s="117"/>
      <c r="K20" s="117"/>
      <c r="L20" s="167">
        <v>2278.79</v>
      </c>
      <c r="M20" s="117"/>
      <c r="N20" s="117"/>
      <c r="O20" s="167">
        <v>4501.21</v>
      </c>
      <c r="P20" s="117"/>
      <c r="Q20" s="138">
        <f t="shared" si="0"/>
        <v>33.610471976401179</v>
      </c>
    </row>
    <row r="21" spans="2:17" x14ac:dyDescent="0.2">
      <c r="B21" s="164" t="s">
        <v>177</v>
      </c>
      <c r="C21" s="165" t="s">
        <v>176</v>
      </c>
      <c r="D21" s="117"/>
      <c r="E21" s="117"/>
      <c r="F21" s="117"/>
      <c r="G21" s="166">
        <v>1730</v>
      </c>
      <c r="H21" s="166">
        <v>0</v>
      </c>
      <c r="I21" s="167">
        <v>0</v>
      </c>
      <c r="J21" s="117"/>
      <c r="K21" s="117"/>
      <c r="L21" s="167">
        <v>0</v>
      </c>
      <c r="M21" s="117"/>
      <c r="N21" s="117"/>
      <c r="O21" s="167">
        <v>1730</v>
      </c>
      <c r="P21" s="117"/>
      <c r="Q21" s="138">
        <f t="shared" si="0"/>
        <v>0</v>
      </c>
    </row>
    <row r="22" spans="2:17" x14ac:dyDescent="0.2">
      <c r="B22" s="164" t="s">
        <v>165</v>
      </c>
      <c r="C22" s="165" t="s">
        <v>164</v>
      </c>
      <c r="D22" s="117"/>
      <c r="E22" s="117"/>
      <c r="F22" s="117"/>
      <c r="G22" s="166">
        <v>0</v>
      </c>
      <c r="H22" s="166">
        <v>0</v>
      </c>
      <c r="I22" s="167">
        <v>0</v>
      </c>
      <c r="J22" s="117"/>
      <c r="K22" s="117"/>
      <c r="L22" s="167">
        <v>0</v>
      </c>
      <c r="M22" s="117"/>
      <c r="N22" s="117"/>
      <c r="O22" s="167">
        <v>0</v>
      </c>
      <c r="P22" s="117"/>
      <c r="Q22" s="138"/>
    </row>
    <row r="23" spans="2:17" x14ac:dyDescent="0.2">
      <c r="B23" s="164" t="s">
        <v>145</v>
      </c>
      <c r="C23" s="165" t="s">
        <v>144</v>
      </c>
      <c r="D23" s="117"/>
      <c r="E23" s="117"/>
      <c r="F23" s="117"/>
      <c r="G23" s="166">
        <v>2790</v>
      </c>
      <c r="H23" s="166">
        <v>0</v>
      </c>
      <c r="I23" s="167">
        <v>0</v>
      </c>
      <c r="J23" s="117"/>
      <c r="K23" s="117"/>
      <c r="L23" s="167">
        <v>0</v>
      </c>
      <c r="M23" s="117"/>
      <c r="N23" s="117"/>
      <c r="O23" s="167">
        <v>2790</v>
      </c>
      <c r="P23" s="117"/>
      <c r="Q23" s="138">
        <f t="shared" si="0"/>
        <v>0</v>
      </c>
    </row>
    <row r="24" spans="2:17" x14ac:dyDescent="0.2">
      <c r="B24" s="164" t="s">
        <v>136</v>
      </c>
      <c r="C24" s="165" t="s">
        <v>135</v>
      </c>
      <c r="D24" s="117"/>
      <c r="E24" s="117"/>
      <c r="F24" s="117"/>
      <c r="G24" s="166">
        <v>2260</v>
      </c>
      <c r="H24" s="166">
        <v>2278.79</v>
      </c>
      <c r="I24" s="167">
        <v>0</v>
      </c>
      <c r="J24" s="117"/>
      <c r="K24" s="117"/>
      <c r="L24" s="167">
        <v>2278.79</v>
      </c>
      <c r="M24" s="117"/>
      <c r="N24" s="117"/>
      <c r="O24" s="167">
        <v>-18.79</v>
      </c>
      <c r="P24" s="117"/>
      <c r="Q24" s="138">
        <f t="shared" si="0"/>
        <v>100.83141592920353</v>
      </c>
    </row>
    <row r="25" spans="2:17" ht="22.5" x14ac:dyDescent="0.2">
      <c r="B25" s="160" t="s">
        <v>244</v>
      </c>
      <c r="C25" s="161" t="s">
        <v>245</v>
      </c>
      <c r="D25" s="117"/>
      <c r="E25" s="117"/>
      <c r="F25" s="117"/>
      <c r="G25" s="162">
        <v>6900</v>
      </c>
      <c r="H25" s="162">
        <v>460</v>
      </c>
      <c r="I25" s="163">
        <v>0</v>
      </c>
      <c r="J25" s="117"/>
      <c r="K25" s="117"/>
      <c r="L25" s="163">
        <v>460</v>
      </c>
      <c r="M25" s="117"/>
      <c r="N25" s="117"/>
      <c r="O25" s="163">
        <v>6440</v>
      </c>
      <c r="P25" s="117"/>
      <c r="Q25" s="138">
        <f t="shared" si="0"/>
        <v>6.666666666666667</v>
      </c>
    </row>
    <row r="26" spans="2:17" x14ac:dyDescent="0.2">
      <c r="B26" s="164" t="s">
        <v>183</v>
      </c>
      <c r="C26" s="165" t="s">
        <v>182</v>
      </c>
      <c r="D26" s="117"/>
      <c r="E26" s="117"/>
      <c r="F26" s="117"/>
      <c r="G26" s="166">
        <v>5110</v>
      </c>
      <c r="H26" s="166">
        <v>0</v>
      </c>
      <c r="I26" s="167">
        <v>0</v>
      </c>
      <c r="J26" s="117"/>
      <c r="K26" s="117"/>
      <c r="L26" s="167">
        <v>0</v>
      </c>
      <c r="M26" s="117"/>
      <c r="N26" s="117"/>
      <c r="O26" s="167">
        <v>5110</v>
      </c>
      <c r="P26" s="117"/>
      <c r="Q26" s="138">
        <f t="shared" si="0"/>
        <v>0</v>
      </c>
    </row>
    <row r="27" spans="2:17" x14ac:dyDescent="0.2">
      <c r="B27" s="164" t="s">
        <v>124</v>
      </c>
      <c r="C27" s="165" t="s">
        <v>123</v>
      </c>
      <c r="D27" s="117"/>
      <c r="E27" s="117"/>
      <c r="F27" s="117"/>
      <c r="G27" s="166">
        <v>5110</v>
      </c>
      <c r="H27" s="166">
        <v>0</v>
      </c>
      <c r="I27" s="167">
        <v>0</v>
      </c>
      <c r="J27" s="117"/>
      <c r="K27" s="117"/>
      <c r="L27" s="167">
        <v>0</v>
      </c>
      <c r="M27" s="117"/>
      <c r="N27" s="117"/>
      <c r="O27" s="167">
        <v>5110</v>
      </c>
      <c r="P27" s="117"/>
      <c r="Q27" s="138">
        <f t="shared" si="0"/>
        <v>0</v>
      </c>
    </row>
    <row r="28" spans="2:17" x14ac:dyDescent="0.2">
      <c r="B28" s="164" t="s">
        <v>112</v>
      </c>
      <c r="C28" s="165" t="s">
        <v>111</v>
      </c>
      <c r="D28" s="117"/>
      <c r="E28" s="117"/>
      <c r="F28" s="117"/>
      <c r="G28" s="166">
        <v>1790</v>
      </c>
      <c r="H28" s="166">
        <v>460</v>
      </c>
      <c r="I28" s="167">
        <v>0</v>
      </c>
      <c r="J28" s="117"/>
      <c r="K28" s="117"/>
      <c r="L28" s="167">
        <v>460</v>
      </c>
      <c r="M28" s="117"/>
      <c r="N28" s="117"/>
      <c r="O28" s="167">
        <v>1330</v>
      </c>
      <c r="P28" s="117"/>
      <c r="Q28" s="138">
        <f t="shared" si="0"/>
        <v>25.69832402234637</v>
      </c>
    </row>
    <row r="29" spans="2:17" x14ac:dyDescent="0.2">
      <c r="B29" s="164" t="s">
        <v>108</v>
      </c>
      <c r="C29" s="165" t="s">
        <v>107</v>
      </c>
      <c r="D29" s="117"/>
      <c r="E29" s="117"/>
      <c r="F29" s="117"/>
      <c r="G29" s="166">
        <v>1790</v>
      </c>
      <c r="H29" s="166">
        <v>460</v>
      </c>
      <c r="I29" s="167">
        <v>0</v>
      </c>
      <c r="J29" s="117"/>
      <c r="K29" s="117"/>
      <c r="L29" s="167">
        <v>460</v>
      </c>
      <c r="M29" s="117"/>
      <c r="N29" s="117"/>
      <c r="O29" s="167">
        <v>1330</v>
      </c>
      <c r="P29" s="117"/>
      <c r="Q29" s="138">
        <f t="shared" si="0"/>
        <v>25.69832402234637</v>
      </c>
    </row>
    <row r="30" spans="2:17" ht="22.5" x14ac:dyDescent="0.2">
      <c r="B30" s="160" t="s">
        <v>246</v>
      </c>
      <c r="C30" s="161" t="s">
        <v>247</v>
      </c>
      <c r="D30" s="117"/>
      <c r="E30" s="117"/>
      <c r="F30" s="117"/>
      <c r="G30" s="162">
        <v>47450</v>
      </c>
      <c r="H30" s="162">
        <v>0</v>
      </c>
      <c r="I30" s="163">
        <v>0</v>
      </c>
      <c r="J30" s="117"/>
      <c r="K30" s="117"/>
      <c r="L30" s="163">
        <v>0</v>
      </c>
      <c r="M30" s="117"/>
      <c r="N30" s="117"/>
      <c r="O30" s="163">
        <v>47450</v>
      </c>
      <c r="P30" s="117"/>
      <c r="Q30" s="138">
        <f t="shared" si="0"/>
        <v>0</v>
      </c>
    </row>
    <row r="31" spans="2:17" x14ac:dyDescent="0.2">
      <c r="B31" s="164" t="s">
        <v>112</v>
      </c>
      <c r="C31" s="165" t="s">
        <v>111</v>
      </c>
      <c r="D31" s="117"/>
      <c r="E31" s="117"/>
      <c r="F31" s="117"/>
      <c r="G31" s="166">
        <v>0</v>
      </c>
      <c r="H31" s="166">
        <v>0</v>
      </c>
      <c r="I31" s="167">
        <v>0</v>
      </c>
      <c r="J31" s="117"/>
      <c r="K31" s="117"/>
      <c r="L31" s="167">
        <v>0</v>
      </c>
      <c r="M31" s="117"/>
      <c r="N31" s="117"/>
      <c r="O31" s="167">
        <v>0</v>
      </c>
      <c r="P31" s="117"/>
      <c r="Q31" s="138"/>
    </row>
    <row r="32" spans="2:17" x14ac:dyDescent="0.2">
      <c r="B32" s="164" t="s">
        <v>106</v>
      </c>
      <c r="C32" s="165" t="s">
        <v>105</v>
      </c>
      <c r="D32" s="117"/>
      <c r="E32" s="117"/>
      <c r="F32" s="117"/>
      <c r="G32" s="166">
        <v>0</v>
      </c>
      <c r="H32" s="166">
        <v>0</v>
      </c>
      <c r="I32" s="167">
        <v>0</v>
      </c>
      <c r="J32" s="117"/>
      <c r="K32" s="117"/>
      <c r="L32" s="167">
        <v>0</v>
      </c>
      <c r="M32" s="117"/>
      <c r="N32" s="117"/>
      <c r="O32" s="167">
        <v>0</v>
      </c>
      <c r="P32" s="117"/>
      <c r="Q32" s="138"/>
    </row>
    <row r="33" spans="2:17" x14ac:dyDescent="0.2">
      <c r="B33" s="164" t="s">
        <v>93</v>
      </c>
      <c r="C33" s="165" t="s">
        <v>92</v>
      </c>
      <c r="D33" s="117"/>
      <c r="E33" s="117"/>
      <c r="F33" s="117"/>
      <c r="G33" s="166">
        <v>47450</v>
      </c>
      <c r="H33" s="166">
        <v>0</v>
      </c>
      <c r="I33" s="167">
        <v>0</v>
      </c>
      <c r="J33" s="117"/>
      <c r="K33" s="117"/>
      <c r="L33" s="167">
        <v>0</v>
      </c>
      <c r="M33" s="117"/>
      <c r="N33" s="117"/>
      <c r="O33" s="167">
        <v>47450</v>
      </c>
      <c r="P33" s="117"/>
      <c r="Q33" s="138">
        <f t="shared" si="0"/>
        <v>0</v>
      </c>
    </row>
    <row r="34" spans="2:17" x14ac:dyDescent="0.2">
      <c r="B34" s="164" t="s">
        <v>75</v>
      </c>
      <c r="C34" s="165" t="s">
        <v>74</v>
      </c>
      <c r="D34" s="117"/>
      <c r="E34" s="117"/>
      <c r="F34" s="117"/>
      <c r="G34" s="166">
        <v>47450</v>
      </c>
      <c r="H34" s="166">
        <v>0</v>
      </c>
      <c r="I34" s="167">
        <v>0</v>
      </c>
      <c r="J34" s="117"/>
      <c r="K34" s="117"/>
      <c r="L34" s="167">
        <v>0</v>
      </c>
      <c r="M34" s="117"/>
      <c r="N34" s="117"/>
      <c r="O34" s="167">
        <v>47450</v>
      </c>
      <c r="P34" s="117"/>
      <c r="Q34" s="138">
        <f t="shared" si="0"/>
        <v>0</v>
      </c>
    </row>
    <row r="35" spans="2:17" ht="22.5" x14ac:dyDescent="0.2">
      <c r="B35" s="160" t="s">
        <v>248</v>
      </c>
      <c r="C35" s="161" t="s">
        <v>249</v>
      </c>
      <c r="D35" s="117"/>
      <c r="E35" s="117"/>
      <c r="F35" s="117"/>
      <c r="G35" s="162">
        <v>4640</v>
      </c>
      <c r="H35" s="162">
        <v>3022.01</v>
      </c>
      <c r="I35" s="163">
        <v>0</v>
      </c>
      <c r="J35" s="117"/>
      <c r="K35" s="117"/>
      <c r="L35" s="163">
        <v>3022.01</v>
      </c>
      <c r="M35" s="117"/>
      <c r="N35" s="117"/>
      <c r="O35" s="163">
        <v>1617.99</v>
      </c>
      <c r="P35" s="117"/>
      <c r="Q35" s="138">
        <f t="shared" si="0"/>
        <v>65.129525862068974</v>
      </c>
    </row>
    <row r="36" spans="2:17" x14ac:dyDescent="0.2">
      <c r="B36" s="164" t="s">
        <v>201</v>
      </c>
      <c r="C36" s="165" t="s">
        <v>200</v>
      </c>
      <c r="D36" s="117"/>
      <c r="E36" s="117"/>
      <c r="F36" s="117"/>
      <c r="G36" s="166">
        <v>3170</v>
      </c>
      <c r="H36" s="166">
        <v>2390.66</v>
      </c>
      <c r="I36" s="167">
        <v>0</v>
      </c>
      <c r="J36" s="117"/>
      <c r="K36" s="117"/>
      <c r="L36" s="167">
        <v>2390.66</v>
      </c>
      <c r="M36" s="117"/>
      <c r="N36" s="117"/>
      <c r="O36" s="167">
        <v>779.34</v>
      </c>
      <c r="P36" s="117"/>
      <c r="Q36" s="138">
        <f t="shared" si="0"/>
        <v>75.415141955835963</v>
      </c>
    </row>
    <row r="37" spans="2:17" x14ac:dyDescent="0.2">
      <c r="B37" s="164" t="s">
        <v>197</v>
      </c>
      <c r="C37" s="165" t="s">
        <v>196</v>
      </c>
      <c r="D37" s="117"/>
      <c r="E37" s="117"/>
      <c r="F37" s="117"/>
      <c r="G37" s="166">
        <v>2720</v>
      </c>
      <c r="H37" s="166">
        <v>2052.09</v>
      </c>
      <c r="I37" s="167">
        <v>0</v>
      </c>
      <c r="J37" s="117"/>
      <c r="K37" s="117"/>
      <c r="L37" s="167">
        <v>2052.09</v>
      </c>
      <c r="M37" s="117"/>
      <c r="N37" s="117"/>
      <c r="O37" s="167">
        <v>667.91</v>
      </c>
      <c r="P37" s="117"/>
      <c r="Q37" s="138">
        <f t="shared" si="0"/>
        <v>75.444485294117641</v>
      </c>
    </row>
    <row r="38" spans="2:17" x14ac:dyDescent="0.2">
      <c r="B38" s="164" t="s">
        <v>186</v>
      </c>
      <c r="C38" s="165" t="s">
        <v>185</v>
      </c>
      <c r="D38" s="117"/>
      <c r="E38" s="117"/>
      <c r="F38" s="117"/>
      <c r="G38" s="166">
        <v>450</v>
      </c>
      <c r="H38" s="166">
        <v>338.57</v>
      </c>
      <c r="I38" s="167">
        <v>0</v>
      </c>
      <c r="J38" s="117"/>
      <c r="K38" s="117"/>
      <c r="L38" s="167">
        <v>338.57</v>
      </c>
      <c r="M38" s="117"/>
      <c r="N38" s="117"/>
      <c r="O38" s="167">
        <v>111.43</v>
      </c>
      <c r="P38" s="117"/>
      <c r="Q38" s="138">
        <f t="shared" si="0"/>
        <v>75.237777777777779</v>
      </c>
    </row>
    <row r="39" spans="2:17" x14ac:dyDescent="0.2">
      <c r="B39" s="164" t="s">
        <v>183</v>
      </c>
      <c r="C39" s="165" t="s">
        <v>182</v>
      </c>
      <c r="D39" s="117"/>
      <c r="E39" s="117"/>
      <c r="F39" s="117"/>
      <c r="G39" s="166">
        <v>1470</v>
      </c>
      <c r="H39" s="166">
        <v>631.35</v>
      </c>
      <c r="I39" s="167">
        <v>0</v>
      </c>
      <c r="J39" s="117"/>
      <c r="K39" s="117"/>
      <c r="L39" s="167">
        <v>631.35</v>
      </c>
      <c r="M39" s="117"/>
      <c r="N39" s="117"/>
      <c r="O39" s="167">
        <v>838.65</v>
      </c>
      <c r="P39" s="117"/>
      <c r="Q39" s="138">
        <f t="shared" si="0"/>
        <v>42.948979591836739</v>
      </c>
    </row>
    <row r="40" spans="2:17" x14ac:dyDescent="0.2">
      <c r="B40" s="164" t="s">
        <v>169</v>
      </c>
      <c r="C40" s="165" t="s">
        <v>168</v>
      </c>
      <c r="D40" s="117"/>
      <c r="E40" s="117"/>
      <c r="F40" s="117"/>
      <c r="G40" s="166">
        <v>1470</v>
      </c>
      <c r="H40" s="166">
        <v>0</v>
      </c>
      <c r="I40" s="167">
        <v>0</v>
      </c>
      <c r="J40" s="117"/>
      <c r="K40" s="117"/>
      <c r="L40" s="167">
        <v>0</v>
      </c>
      <c r="M40" s="117"/>
      <c r="N40" s="117"/>
      <c r="O40" s="167">
        <v>1470</v>
      </c>
      <c r="P40" s="117"/>
      <c r="Q40" s="138">
        <f t="shared" si="0"/>
        <v>0</v>
      </c>
    </row>
    <row r="41" spans="2:17" x14ac:dyDescent="0.2">
      <c r="B41" s="164" t="s">
        <v>143</v>
      </c>
      <c r="C41" s="165" t="s">
        <v>142</v>
      </c>
      <c r="D41" s="117"/>
      <c r="E41" s="117"/>
      <c r="F41" s="117"/>
      <c r="G41" s="166">
        <v>0</v>
      </c>
      <c r="H41" s="166">
        <v>317.19</v>
      </c>
      <c r="I41" s="167">
        <v>0</v>
      </c>
      <c r="J41" s="117"/>
      <c r="K41" s="117"/>
      <c r="L41" s="167">
        <v>317.19</v>
      </c>
      <c r="M41" s="117"/>
      <c r="N41" s="117"/>
      <c r="O41" s="167">
        <v>-317.19</v>
      </c>
      <c r="P41" s="117"/>
      <c r="Q41" s="138"/>
    </row>
    <row r="42" spans="2:17" x14ac:dyDescent="0.2">
      <c r="B42" s="164" t="s">
        <v>132</v>
      </c>
      <c r="C42" s="165" t="s">
        <v>131</v>
      </c>
      <c r="D42" s="117"/>
      <c r="E42" s="117"/>
      <c r="F42" s="117"/>
      <c r="G42" s="166">
        <v>0</v>
      </c>
      <c r="H42" s="166">
        <v>271.58999999999997</v>
      </c>
      <c r="I42" s="167">
        <v>0</v>
      </c>
      <c r="J42" s="117"/>
      <c r="K42" s="117"/>
      <c r="L42" s="167">
        <v>271.58999999999997</v>
      </c>
      <c r="M42" s="117"/>
      <c r="N42" s="117"/>
      <c r="O42" s="167">
        <v>-271.58999999999997</v>
      </c>
      <c r="P42" s="117"/>
      <c r="Q42" s="138"/>
    </row>
    <row r="43" spans="2:17" x14ac:dyDescent="0.2">
      <c r="B43" s="164" t="s">
        <v>124</v>
      </c>
      <c r="C43" s="165" t="s">
        <v>123</v>
      </c>
      <c r="D43" s="117"/>
      <c r="E43" s="117"/>
      <c r="F43" s="117"/>
      <c r="G43" s="166">
        <v>0</v>
      </c>
      <c r="H43" s="166">
        <v>42.57</v>
      </c>
      <c r="I43" s="167">
        <v>0</v>
      </c>
      <c r="J43" s="117"/>
      <c r="K43" s="117"/>
      <c r="L43" s="167">
        <v>42.57</v>
      </c>
      <c r="M43" s="117"/>
      <c r="N43" s="117"/>
      <c r="O43" s="167">
        <v>-42.57</v>
      </c>
      <c r="P43" s="117"/>
      <c r="Q43" s="138"/>
    </row>
    <row r="44" spans="2:17" ht="22.5" x14ac:dyDescent="0.2">
      <c r="B44" s="160" t="s">
        <v>250</v>
      </c>
      <c r="C44" s="168" t="s">
        <v>251</v>
      </c>
      <c r="D44" s="169"/>
      <c r="E44" s="169"/>
      <c r="F44" s="169"/>
      <c r="G44" s="162">
        <v>242790</v>
      </c>
      <c r="H44" s="162">
        <v>3772.38</v>
      </c>
      <c r="I44" s="163">
        <v>0</v>
      </c>
      <c r="J44" s="117"/>
      <c r="K44" s="117"/>
      <c r="L44" s="163">
        <v>3772.38</v>
      </c>
      <c r="M44" s="117"/>
      <c r="N44" s="117"/>
      <c r="O44" s="163">
        <v>239017.62</v>
      </c>
      <c r="P44" s="117"/>
      <c r="Q44" s="138">
        <f t="shared" si="0"/>
        <v>1.5537625108118127</v>
      </c>
    </row>
    <row r="45" spans="2:17" x14ac:dyDescent="0.2">
      <c r="B45" s="164" t="s">
        <v>183</v>
      </c>
      <c r="C45" s="165" t="s">
        <v>182</v>
      </c>
      <c r="D45" s="117"/>
      <c r="E45" s="117"/>
      <c r="F45" s="117"/>
      <c r="G45" s="166">
        <v>2390</v>
      </c>
      <c r="H45" s="166">
        <v>3772.38</v>
      </c>
      <c r="I45" s="167">
        <v>0</v>
      </c>
      <c r="J45" s="117"/>
      <c r="K45" s="117"/>
      <c r="L45" s="167">
        <v>3772.38</v>
      </c>
      <c r="M45" s="117"/>
      <c r="N45" s="117"/>
      <c r="O45" s="167">
        <v>-1382.38</v>
      </c>
      <c r="P45" s="117"/>
      <c r="Q45" s="138">
        <f t="shared" si="0"/>
        <v>157.84016736401674</v>
      </c>
    </row>
    <row r="46" spans="2:17" x14ac:dyDescent="0.2">
      <c r="B46" s="164" t="s">
        <v>153</v>
      </c>
      <c r="C46" s="165" t="s">
        <v>152</v>
      </c>
      <c r="D46" s="117"/>
      <c r="E46" s="117"/>
      <c r="F46" s="117"/>
      <c r="G46" s="166">
        <v>2390</v>
      </c>
      <c r="H46" s="166">
        <v>3772.38</v>
      </c>
      <c r="I46" s="167">
        <v>0</v>
      </c>
      <c r="J46" s="117"/>
      <c r="K46" s="117"/>
      <c r="L46" s="167">
        <v>3772.38</v>
      </c>
      <c r="M46" s="117"/>
      <c r="N46" s="117"/>
      <c r="O46" s="167">
        <v>-1382.38</v>
      </c>
      <c r="P46" s="117"/>
      <c r="Q46" s="138">
        <f t="shared" si="0"/>
        <v>157.84016736401674</v>
      </c>
    </row>
    <row r="47" spans="2:17" x14ac:dyDescent="0.2">
      <c r="B47" s="164" t="s">
        <v>99</v>
      </c>
      <c r="C47" s="165" t="s">
        <v>98</v>
      </c>
      <c r="D47" s="117"/>
      <c r="E47" s="117"/>
      <c r="F47" s="117"/>
      <c r="G47" s="166">
        <v>0</v>
      </c>
      <c r="H47" s="166">
        <v>0</v>
      </c>
      <c r="I47" s="167">
        <v>0</v>
      </c>
      <c r="J47" s="117"/>
      <c r="K47" s="117"/>
      <c r="L47" s="167">
        <v>0</v>
      </c>
      <c r="M47" s="117"/>
      <c r="N47" s="117"/>
      <c r="O47" s="167">
        <v>0</v>
      </c>
      <c r="P47" s="117"/>
      <c r="Q47" s="138"/>
    </row>
    <row r="48" spans="2:17" x14ac:dyDescent="0.2">
      <c r="B48" s="164" t="s">
        <v>95</v>
      </c>
      <c r="C48" s="165" t="s">
        <v>94</v>
      </c>
      <c r="D48" s="117"/>
      <c r="E48" s="117"/>
      <c r="F48" s="117"/>
      <c r="G48" s="166">
        <v>0</v>
      </c>
      <c r="H48" s="166">
        <v>0</v>
      </c>
      <c r="I48" s="167">
        <v>0</v>
      </c>
      <c r="J48" s="117"/>
      <c r="K48" s="117"/>
      <c r="L48" s="167">
        <v>0</v>
      </c>
      <c r="M48" s="117"/>
      <c r="N48" s="117"/>
      <c r="O48" s="167">
        <v>0</v>
      </c>
      <c r="P48" s="117"/>
      <c r="Q48" s="138"/>
    </row>
    <row r="49" spans="2:18" x14ac:dyDescent="0.2">
      <c r="B49" s="164" t="s">
        <v>93</v>
      </c>
      <c r="C49" s="165" t="s">
        <v>92</v>
      </c>
      <c r="D49" s="117"/>
      <c r="E49" s="117"/>
      <c r="F49" s="117"/>
      <c r="G49" s="166">
        <v>240400</v>
      </c>
      <c r="H49" s="166">
        <v>0</v>
      </c>
      <c r="I49" s="167">
        <v>0</v>
      </c>
      <c r="J49" s="117"/>
      <c r="K49" s="117"/>
      <c r="L49" s="167">
        <v>0</v>
      </c>
      <c r="M49" s="117"/>
      <c r="N49" s="117"/>
      <c r="O49" s="167">
        <v>240400</v>
      </c>
      <c r="P49" s="117"/>
      <c r="Q49" s="138">
        <f t="shared" si="0"/>
        <v>0</v>
      </c>
    </row>
    <row r="50" spans="2:18" x14ac:dyDescent="0.2">
      <c r="B50" s="164" t="s">
        <v>89</v>
      </c>
      <c r="C50" s="165" t="s">
        <v>88</v>
      </c>
      <c r="D50" s="117"/>
      <c r="E50" s="117"/>
      <c r="F50" s="117"/>
      <c r="G50" s="166">
        <v>0</v>
      </c>
      <c r="H50" s="166">
        <v>0</v>
      </c>
      <c r="I50" s="167">
        <v>0</v>
      </c>
      <c r="J50" s="117"/>
      <c r="K50" s="117"/>
      <c r="L50" s="167">
        <v>0</v>
      </c>
      <c r="M50" s="117"/>
      <c r="N50" s="117"/>
      <c r="O50" s="167">
        <v>0</v>
      </c>
      <c r="P50" s="117"/>
      <c r="Q50" s="138"/>
    </row>
    <row r="51" spans="2:18" x14ac:dyDescent="0.2">
      <c r="B51" s="164" t="s">
        <v>85</v>
      </c>
      <c r="C51" s="165" t="s">
        <v>84</v>
      </c>
      <c r="D51" s="117"/>
      <c r="E51" s="117"/>
      <c r="F51" s="117"/>
      <c r="G51" s="166">
        <v>238900</v>
      </c>
      <c r="H51" s="166">
        <v>0</v>
      </c>
      <c r="I51" s="167">
        <v>0</v>
      </c>
      <c r="J51" s="117"/>
      <c r="K51" s="117"/>
      <c r="L51" s="167">
        <v>0</v>
      </c>
      <c r="M51" s="117"/>
      <c r="N51" s="117"/>
      <c r="O51" s="167">
        <v>238900</v>
      </c>
      <c r="P51" s="117"/>
      <c r="Q51" s="138">
        <f t="shared" si="0"/>
        <v>0</v>
      </c>
    </row>
    <row r="52" spans="2:18" x14ac:dyDescent="0.2">
      <c r="B52" s="164" t="s">
        <v>81</v>
      </c>
      <c r="C52" s="165" t="s">
        <v>80</v>
      </c>
      <c r="D52" s="117"/>
      <c r="E52" s="117"/>
      <c r="F52" s="117"/>
      <c r="G52" s="166">
        <v>0</v>
      </c>
      <c r="H52" s="166">
        <v>0</v>
      </c>
      <c r="I52" s="167">
        <v>0</v>
      </c>
      <c r="J52" s="117"/>
      <c r="K52" s="117"/>
      <c r="L52" s="167">
        <v>0</v>
      </c>
      <c r="M52" s="117"/>
      <c r="N52" s="117"/>
      <c r="O52" s="167">
        <v>0</v>
      </c>
      <c r="P52" s="117"/>
      <c r="Q52" s="138"/>
    </row>
    <row r="53" spans="2:18" x14ac:dyDescent="0.2">
      <c r="B53" s="164" t="s">
        <v>75</v>
      </c>
      <c r="C53" s="165" t="s">
        <v>74</v>
      </c>
      <c r="D53" s="117"/>
      <c r="E53" s="117"/>
      <c r="F53" s="117"/>
      <c r="G53" s="166">
        <v>1500</v>
      </c>
      <c r="H53" s="166">
        <v>0</v>
      </c>
      <c r="I53" s="167">
        <v>0</v>
      </c>
      <c r="J53" s="117"/>
      <c r="K53" s="117"/>
      <c r="L53" s="167">
        <v>0</v>
      </c>
      <c r="M53" s="117"/>
      <c r="N53" s="117"/>
      <c r="O53" s="167">
        <v>1500</v>
      </c>
      <c r="P53" s="117"/>
      <c r="Q53" s="138">
        <f t="shared" si="0"/>
        <v>0</v>
      </c>
    </row>
    <row r="54" spans="2:18" ht="22.5" x14ac:dyDescent="0.2">
      <c r="B54" s="160" t="s">
        <v>252</v>
      </c>
      <c r="C54" s="168" t="s">
        <v>253</v>
      </c>
      <c r="D54" s="169"/>
      <c r="E54" s="169"/>
      <c r="F54" s="169"/>
      <c r="G54" s="162">
        <v>930</v>
      </c>
      <c r="H54" s="162">
        <v>534.84</v>
      </c>
      <c r="I54" s="163">
        <v>0</v>
      </c>
      <c r="J54" s="117"/>
      <c r="K54" s="117"/>
      <c r="L54" s="163">
        <v>534.84</v>
      </c>
      <c r="M54" s="117"/>
      <c r="N54" s="117"/>
      <c r="O54" s="163">
        <v>395.16</v>
      </c>
      <c r="P54" s="117"/>
      <c r="Q54" s="138">
        <f t="shared" si="0"/>
        <v>57.509677419354844</v>
      </c>
      <c r="R54" s="115" t="s">
        <v>303</v>
      </c>
    </row>
    <row r="55" spans="2:18" x14ac:dyDescent="0.2">
      <c r="B55" s="164" t="s">
        <v>183</v>
      </c>
      <c r="C55" s="165" t="s">
        <v>182</v>
      </c>
      <c r="D55" s="117"/>
      <c r="E55" s="117"/>
      <c r="F55" s="117"/>
      <c r="G55" s="166">
        <v>930</v>
      </c>
      <c r="H55" s="166">
        <v>534.84</v>
      </c>
      <c r="I55" s="167">
        <v>0</v>
      </c>
      <c r="J55" s="117"/>
      <c r="K55" s="117"/>
      <c r="L55" s="167">
        <v>534.84</v>
      </c>
      <c r="M55" s="117"/>
      <c r="N55" s="117"/>
      <c r="O55" s="167">
        <v>395.16</v>
      </c>
      <c r="P55" s="117"/>
      <c r="Q55" s="138">
        <f t="shared" si="0"/>
        <v>57.509677419354844</v>
      </c>
    </row>
    <row r="56" spans="2:18" x14ac:dyDescent="0.2">
      <c r="B56" s="164" t="s">
        <v>143</v>
      </c>
      <c r="C56" s="165" t="s">
        <v>142</v>
      </c>
      <c r="D56" s="117"/>
      <c r="E56" s="117"/>
      <c r="F56" s="117"/>
      <c r="G56" s="166">
        <v>930</v>
      </c>
      <c r="H56" s="166">
        <v>534.84</v>
      </c>
      <c r="I56" s="167">
        <v>0</v>
      </c>
      <c r="J56" s="117"/>
      <c r="K56" s="117"/>
      <c r="L56" s="167">
        <v>534.84</v>
      </c>
      <c r="M56" s="117"/>
      <c r="N56" s="117"/>
      <c r="O56" s="167">
        <v>395.16</v>
      </c>
      <c r="P56" s="117"/>
      <c r="Q56" s="138">
        <f t="shared" si="0"/>
        <v>57.509677419354844</v>
      </c>
    </row>
    <row r="57" spans="2:18" ht="22.5" x14ac:dyDescent="0.2">
      <c r="B57" s="160" t="s">
        <v>254</v>
      </c>
      <c r="C57" s="161" t="s">
        <v>255</v>
      </c>
      <c r="D57" s="117"/>
      <c r="E57" s="117"/>
      <c r="F57" s="117"/>
      <c r="G57" s="162">
        <v>0</v>
      </c>
      <c r="H57" s="162">
        <v>371.06</v>
      </c>
      <c r="I57" s="163">
        <v>0</v>
      </c>
      <c r="J57" s="117"/>
      <c r="K57" s="117"/>
      <c r="L57" s="163">
        <v>371.06</v>
      </c>
      <c r="M57" s="117"/>
      <c r="N57" s="117"/>
      <c r="O57" s="163">
        <v>-371.06</v>
      </c>
      <c r="P57" s="117"/>
      <c r="Q57" s="138"/>
    </row>
    <row r="58" spans="2:18" x14ac:dyDescent="0.2">
      <c r="B58" s="164" t="s">
        <v>104</v>
      </c>
      <c r="C58" s="165" t="s">
        <v>103</v>
      </c>
      <c r="D58" s="117"/>
      <c r="E58" s="117"/>
      <c r="F58" s="117"/>
      <c r="G58" s="166">
        <v>0</v>
      </c>
      <c r="H58" s="166">
        <v>371.06</v>
      </c>
      <c r="I58" s="167">
        <v>0</v>
      </c>
      <c r="J58" s="117"/>
      <c r="K58" s="117"/>
      <c r="L58" s="167">
        <v>371.06</v>
      </c>
      <c r="M58" s="117"/>
      <c r="N58" s="117"/>
      <c r="O58" s="167">
        <v>-371.06</v>
      </c>
      <c r="P58" s="117"/>
      <c r="Q58" s="138"/>
    </row>
    <row r="59" spans="2:18" x14ac:dyDescent="0.2">
      <c r="B59" s="164" t="s">
        <v>101</v>
      </c>
      <c r="C59" s="165" t="s">
        <v>100</v>
      </c>
      <c r="D59" s="117"/>
      <c r="E59" s="117"/>
      <c r="F59" s="117"/>
      <c r="G59" s="166">
        <v>0</v>
      </c>
      <c r="H59" s="166">
        <v>371.06</v>
      </c>
      <c r="I59" s="167">
        <v>0</v>
      </c>
      <c r="J59" s="117"/>
      <c r="K59" s="117"/>
      <c r="L59" s="167">
        <v>371.06</v>
      </c>
      <c r="M59" s="117"/>
      <c r="N59" s="117"/>
      <c r="O59" s="167">
        <v>-371.06</v>
      </c>
      <c r="P59" s="117"/>
      <c r="Q59" s="138"/>
    </row>
    <row r="60" spans="2:18" x14ac:dyDescent="0.2">
      <c r="B60" s="152" t="s">
        <v>256</v>
      </c>
      <c r="C60" s="153" t="s">
        <v>257</v>
      </c>
      <c r="D60" s="117"/>
      <c r="E60" s="117"/>
      <c r="F60" s="117"/>
      <c r="G60" s="154">
        <v>75030</v>
      </c>
      <c r="H60" s="154">
        <v>38332.879999999997</v>
      </c>
      <c r="I60" s="155">
        <v>0</v>
      </c>
      <c r="J60" s="117"/>
      <c r="K60" s="117"/>
      <c r="L60" s="155">
        <v>38332.879999999997</v>
      </c>
      <c r="M60" s="117"/>
      <c r="N60" s="117"/>
      <c r="O60" s="155">
        <v>36697.120000000003</v>
      </c>
      <c r="P60" s="117"/>
      <c r="Q60" s="151">
        <f t="shared" si="0"/>
        <v>51.090070638411298</v>
      </c>
      <c r="R60" s="115" t="s">
        <v>302</v>
      </c>
    </row>
    <row r="61" spans="2:18" x14ac:dyDescent="0.2">
      <c r="B61" s="156" t="s">
        <v>240</v>
      </c>
      <c r="C61" s="157" t="s">
        <v>241</v>
      </c>
      <c r="D61" s="117"/>
      <c r="E61" s="117"/>
      <c r="F61" s="117"/>
      <c r="G61" s="158">
        <v>75030</v>
      </c>
      <c r="H61" s="158">
        <v>38332.879999999997</v>
      </c>
      <c r="I61" s="159">
        <v>0</v>
      </c>
      <c r="J61" s="117"/>
      <c r="K61" s="117"/>
      <c r="L61" s="159">
        <v>38332.879999999997</v>
      </c>
      <c r="M61" s="117"/>
      <c r="N61" s="117"/>
      <c r="O61" s="159">
        <v>36697.120000000003</v>
      </c>
      <c r="P61" s="117"/>
      <c r="Q61" s="138">
        <f t="shared" si="0"/>
        <v>51.090070638411298</v>
      </c>
    </row>
    <row r="62" spans="2:18" ht="22.5" x14ac:dyDescent="0.2">
      <c r="B62" s="160" t="s">
        <v>242</v>
      </c>
      <c r="C62" s="161" t="s">
        <v>243</v>
      </c>
      <c r="D62" s="117"/>
      <c r="E62" s="117"/>
      <c r="F62" s="117"/>
      <c r="G62" s="162">
        <v>69410</v>
      </c>
      <c r="H62" s="162">
        <v>38332.879999999997</v>
      </c>
      <c r="I62" s="163">
        <v>0</v>
      </c>
      <c r="J62" s="117"/>
      <c r="K62" s="117"/>
      <c r="L62" s="163">
        <v>38332.879999999997</v>
      </c>
      <c r="M62" s="117"/>
      <c r="N62" s="117"/>
      <c r="O62" s="163">
        <v>31077.119999999999</v>
      </c>
      <c r="P62" s="117"/>
      <c r="Q62" s="138">
        <f t="shared" si="0"/>
        <v>55.226739662872781</v>
      </c>
    </row>
    <row r="63" spans="2:18" x14ac:dyDescent="0.2">
      <c r="B63" s="164" t="s">
        <v>183</v>
      </c>
      <c r="C63" s="165" t="s">
        <v>182</v>
      </c>
      <c r="D63" s="117"/>
      <c r="E63" s="117"/>
      <c r="F63" s="117"/>
      <c r="G63" s="166">
        <v>68750</v>
      </c>
      <c r="H63" s="166">
        <v>38057.32</v>
      </c>
      <c r="I63" s="167">
        <v>0</v>
      </c>
      <c r="J63" s="117"/>
      <c r="K63" s="117"/>
      <c r="L63" s="167">
        <v>38057.32</v>
      </c>
      <c r="M63" s="117"/>
      <c r="N63" s="117"/>
      <c r="O63" s="167">
        <v>30692.68</v>
      </c>
      <c r="P63" s="117"/>
      <c r="Q63" s="138">
        <f t="shared" si="0"/>
        <v>55.356101818181813</v>
      </c>
    </row>
    <row r="64" spans="2:18" x14ac:dyDescent="0.2">
      <c r="B64" s="164" t="s">
        <v>179</v>
      </c>
      <c r="C64" s="165" t="s">
        <v>178</v>
      </c>
      <c r="D64" s="117"/>
      <c r="E64" s="117"/>
      <c r="F64" s="117"/>
      <c r="G64" s="166">
        <v>530</v>
      </c>
      <c r="H64" s="166">
        <v>653.97</v>
      </c>
      <c r="I64" s="167">
        <v>0</v>
      </c>
      <c r="J64" s="117"/>
      <c r="K64" s="117"/>
      <c r="L64" s="167">
        <v>653.97</v>
      </c>
      <c r="M64" s="117"/>
      <c r="N64" s="117"/>
      <c r="O64" s="167">
        <v>-123.97</v>
      </c>
      <c r="P64" s="117"/>
      <c r="Q64" s="138">
        <f t="shared" si="0"/>
        <v>123.39056603773587</v>
      </c>
    </row>
    <row r="65" spans="2:17" x14ac:dyDescent="0.2">
      <c r="B65" s="164" t="s">
        <v>177</v>
      </c>
      <c r="C65" s="165" t="s">
        <v>176</v>
      </c>
      <c r="D65" s="117"/>
      <c r="E65" s="117"/>
      <c r="F65" s="117"/>
      <c r="G65" s="166">
        <v>19910</v>
      </c>
      <c r="H65" s="166">
        <v>8791.64</v>
      </c>
      <c r="I65" s="167">
        <v>0</v>
      </c>
      <c r="J65" s="117"/>
      <c r="K65" s="117"/>
      <c r="L65" s="167">
        <v>8791.64</v>
      </c>
      <c r="M65" s="117"/>
      <c r="N65" s="117"/>
      <c r="O65" s="167">
        <v>11118.36</v>
      </c>
      <c r="P65" s="117"/>
      <c r="Q65" s="138">
        <f t="shared" si="0"/>
        <v>44.156906077348062</v>
      </c>
    </row>
    <row r="66" spans="2:17" x14ac:dyDescent="0.2">
      <c r="B66" s="164" t="s">
        <v>175</v>
      </c>
      <c r="C66" s="165" t="s">
        <v>174</v>
      </c>
      <c r="D66" s="117"/>
      <c r="E66" s="117"/>
      <c r="F66" s="117"/>
      <c r="G66" s="166">
        <v>660</v>
      </c>
      <c r="H66" s="166">
        <v>0</v>
      </c>
      <c r="I66" s="167">
        <v>0</v>
      </c>
      <c r="J66" s="117"/>
      <c r="K66" s="117"/>
      <c r="L66" s="167">
        <v>0</v>
      </c>
      <c r="M66" s="117"/>
      <c r="N66" s="117"/>
      <c r="O66" s="167">
        <v>660</v>
      </c>
      <c r="P66" s="117"/>
      <c r="Q66" s="138">
        <f t="shared" si="0"/>
        <v>0</v>
      </c>
    </row>
    <row r="67" spans="2:17" x14ac:dyDescent="0.2">
      <c r="B67" s="164" t="s">
        <v>169</v>
      </c>
      <c r="C67" s="165" t="s">
        <v>168</v>
      </c>
      <c r="D67" s="117"/>
      <c r="E67" s="117"/>
      <c r="F67" s="117"/>
      <c r="G67" s="166">
        <v>4110</v>
      </c>
      <c r="H67" s="166">
        <v>7122.47</v>
      </c>
      <c r="I67" s="167">
        <v>0</v>
      </c>
      <c r="J67" s="117"/>
      <c r="K67" s="117"/>
      <c r="L67" s="167">
        <v>7122.47</v>
      </c>
      <c r="M67" s="117"/>
      <c r="N67" s="117"/>
      <c r="O67" s="167">
        <v>-3012.47</v>
      </c>
      <c r="P67" s="117"/>
      <c r="Q67" s="138">
        <f t="shared" si="0"/>
        <v>173.29610705596107</v>
      </c>
    </row>
    <row r="68" spans="2:17" x14ac:dyDescent="0.2">
      <c r="B68" s="164" t="s">
        <v>167</v>
      </c>
      <c r="C68" s="165" t="s">
        <v>166</v>
      </c>
      <c r="D68" s="117"/>
      <c r="E68" s="117"/>
      <c r="F68" s="117"/>
      <c r="G68" s="166">
        <v>0</v>
      </c>
      <c r="H68" s="166">
        <v>241.34</v>
      </c>
      <c r="I68" s="167">
        <v>0</v>
      </c>
      <c r="J68" s="117"/>
      <c r="K68" s="117"/>
      <c r="L68" s="167">
        <v>241.34</v>
      </c>
      <c r="M68" s="117"/>
      <c r="N68" s="117"/>
      <c r="O68" s="167">
        <v>-241.34</v>
      </c>
      <c r="P68" s="117"/>
      <c r="Q68" s="138"/>
    </row>
    <row r="69" spans="2:17" x14ac:dyDescent="0.2">
      <c r="B69" s="164" t="s">
        <v>165</v>
      </c>
      <c r="C69" s="165" t="s">
        <v>164</v>
      </c>
      <c r="D69" s="117"/>
      <c r="E69" s="117"/>
      <c r="F69" s="117"/>
      <c r="G69" s="166">
        <v>8760</v>
      </c>
      <c r="H69" s="166">
        <v>0</v>
      </c>
      <c r="I69" s="167">
        <v>0</v>
      </c>
      <c r="J69" s="117"/>
      <c r="K69" s="117"/>
      <c r="L69" s="167">
        <v>0</v>
      </c>
      <c r="M69" s="117"/>
      <c r="N69" s="117"/>
      <c r="O69" s="167">
        <v>8760</v>
      </c>
      <c r="P69" s="117"/>
      <c r="Q69" s="138">
        <f t="shared" si="0"/>
        <v>0</v>
      </c>
    </row>
    <row r="70" spans="2:17" x14ac:dyDescent="0.2">
      <c r="B70" s="164" t="s">
        <v>163</v>
      </c>
      <c r="C70" s="165" t="s">
        <v>162</v>
      </c>
      <c r="D70" s="117"/>
      <c r="E70" s="117"/>
      <c r="F70" s="117"/>
      <c r="G70" s="166">
        <v>2120</v>
      </c>
      <c r="H70" s="166">
        <v>372.92</v>
      </c>
      <c r="I70" s="167">
        <v>0</v>
      </c>
      <c r="J70" s="117"/>
      <c r="K70" s="117"/>
      <c r="L70" s="167">
        <v>372.92</v>
      </c>
      <c r="M70" s="117"/>
      <c r="N70" s="117"/>
      <c r="O70" s="167">
        <v>1747.08</v>
      </c>
      <c r="P70" s="117"/>
      <c r="Q70" s="138">
        <f t="shared" si="0"/>
        <v>17.590566037735851</v>
      </c>
    </row>
    <row r="71" spans="2:17" x14ac:dyDescent="0.2">
      <c r="B71" s="164" t="s">
        <v>161</v>
      </c>
      <c r="C71" s="165" t="s">
        <v>160</v>
      </c>
      <c r="D71" s="117"/>
      <c r="E71" s="117"/>
      <c r="F71" s="117"/>
      <c r="G71" s="166">
        <v>660</v>
      </c>
      <c r="H71" s="166">
        <v>0</v>
      </c>
      <c r="I71" s="167">
        <v>0</v>
      </c>
      <c r="J71" s="117"/>
      <c r="K71" s="117"/>
      <c r="L71" s="167">
        <v>0</v>
      </c>
      <c r="M71" s="117"/>
      <c r="N71" s="117"/>
      <c r="O71" s="167">
        <v>660</v>
      </c>
      <c r="P71" s="117"/>
      <c r="Q71" s="138">
        <f t="shared" si="0"/>
        <v>0</v>
      </c>
    </row>
    <row r="72" spans="2:17" x14ac:dyDescent="0.2">
      <c r="B72" s="164" t="s">
        <v>159</v>
      </c>
      <c r="C72" s="165" t="s">
        <v>158</v>
      </c>
      <c r="D72" s="117"/>
      <c r="E72" s="117"/>
      <c r="F72" s="117"/>
      <c r="G72" s="166">
        <v>0</v>
      </c>
      <c r="H72" s="166">
        <v>368.09</v>
      </c>
      <c r="I72" s="167">
        <v>0</v>
      </c>
      <c r="J72" s="117"/>
      <c r="K72" s="117"/>
      <c r="L72" s="167">
        <v>368.09</v>
      </c>
      <c r="M72" s="117"/>
      <c r="N72" s="117"/>
      <c r="O72" s="167">
        <v>-368.09</v>
      </c>
      <c r="P72" s="117"/>
      <c r="Q72" s="138"/>
    </row>
    <row r="73" spans="2:17" x14ac:dyDescent="0.2">
      <c r="B73" s="164" t="s">
        <v>155</v>
      </c>
      <c r="C73" s="165" t="s">
        <v>154</v>
      </c>
      <c r="D73" s="117"/>
      <c r="E73" s="117"/>
      <c r="F73" s="117"/>
      <c r="G73" s="166">
        <v>1990</v>
      </c>
      <c r="H73" s="166">
        <v>810.1</v>
      </c>
      <c r="I73" s="167">
        <v>0</v>
      </c>
      <c r="J73" s="117"/>
      <c r="K73" s="117"/>
      <c r="L73" s="167">
        <v>810.1</v>
      </c>
      <c r="M73" s="117"/>
      <c r="N73" s="117"/>
      <c r="O73" s="167">
        <v>1179.9000000000001</v>
      </c>
      <c r="P73" s="117"/>
      <c r="Q73" s="138">
        <f t="shared" si="0"/>
        <v>40.708542713567844</v>
      </c>
    </row>
    <row r="74" spans="2:17" x14ac:dyDescent="0.2">
      <c r="B74" s="164" t="s">
        <v>153</v>
      </c>
      <c r="C74" s="165" t="s">
        <v>152</v>
      </c>
      <c r="D74" s="117"/>
      <c r="E74" s="117"/>
      <c r="F74" s="117"/>
      <c r="G74" s="166">
        <v>15930</v>
      </c>
      <c r="H74" s="166">
        <v>171.9</v>
      </c>
      <c r="I74" s="167">
        <v>0</v>
      </c>
      <c r="J74" s="117"/>
      <c r="K74" s="117"/>
      <c r="L74" s="167">
        <v>171.9</v>
      </c>
      <c r="M74" s="117"/>
      <c r="N74" s="117"/>
      <c r="O74" s="167">
        <v>15758.1</v>
      </c>
      <c r="P74" s="117"/>
      <c r="Q74" s="138">
        <f t="shared" si="0"/>
        <v>1.0790960451977403</v>
      </c>
    </row>
    <row r="75" spans="2:17" x14ac:dyDescent="0.2">
      <c r="B75" s="164" t="s">
        <v>151</v>
      </c>
      <c r="C75" s="165" t="s">
        <v>150</v>
      </c>
      <c r="D75" s="117"/>
      <c r="E75" s="117"/>
      <c r="F75" s="117"/>
      <c r="G75" s="166">
        <v>270</v>
      </c>
      <c r="H75" s="166">
        <v>0</v>
      </c>
      <c r="I75" s="167">
        <v>0</v>
      </c>
      <c r="J75" s="117"/>
      <c r="K75" s="117"/>
      <c r="L75" s="167">
        <v>0</v>
      </c>
      <c r="M75" s="117"/>
      <c r="N75" s="117"/>
      <c r="O75" s="167">
        <v>270</v>
      </c>
      <c r="P75" s="117"/>
      <c r="Q75" s="138">
        <f t="shared" si="0"/>
        <v>0</v>
      </c>
    </row>
    <row r="76" spans="2:17" x14ac:dyDescent="0.2">
      <c r="B76" s="164" t="s">
        <v>149</v>
      </c>
      <c r="C76" s="165" t="s">
        <v>148</v>
      </c>
      <c r="D76" s="117"/>
      <c r="E76" s="117"/>
      <c r="F76" s="117"/>
      <c r="G76" s="166">
        <v>6370</v>
      </c>
      <c r="H76" s="166">
        <v>3136.52</v>
      </c>
      <c r="I76" s="167">
        <v>0</v>
      </c>
      <c r="J76" s="117"/>
      <c r="K76" s="117"/>
      <c r="L76" s="167">
        <v>3136.52</v>
      </c>
      <c r="M76" s="117"/>
      <c r="N76" s="117"/>
      <c r="O76" s="167">
        <v>3233.48</v>
      </c>
      <c r="P76" s="117"/>
      <c r="Q76" s="138">
        <f t="shared" si="0"/>
        <v>49.238932496075357</v>
      </c>
    </row>
    <row r="77" spans="2:17" x14ac:dyDescent="0.2">
      <c r="B77" s="164" t="s">
        <v>147</v>
      </c>
      <c r="C77" s="165" t="s">
        <v>146</v>
      </c>
      <c r="D77" s="117"/>
      <c r="E77" s="117"/>
      <c r="F77" s="117"/>
      <c r="G77" s="166">
        <v>0</v>
      </c>
      <c r="H77" s="166">
        <v>1688.1</v>
      </c>
      <c r="I77" s="167">
        <v>0</v>
      </c>
      <c r="J77" s="117"/>
      <c r="K77" s="117"/>
      <c r="L77" s="167">
        <v>1688.1</v>
      </c>
      <c r="M77" s="117"/>
      <c r="N77" s="117"/>
      <c r="O77" s="167">
        <v>-1688.1</v>
      </c>
      <c r="P77" s="117"/>
      <c r="Q77" s="138"/>
    </row>
    <row r="78" spans="2:17" x14ac:dyDescent="0.2">
      <c r="B78" s="164" t="s">
        <v>145</v>
      </c>
      <c r="C78" s="165" t="s">
        <v>144</v>
      </c>
      <c r="D78" s="117"/>
      <c r="E78" s="117"/>
      <c r="F78" s="117"/>
      <c r="G78" s="166">
        <v>2390</v>
      </c>
      <c r="H78" s="166">
        <v>0</v>
      </c>
      <c r="I78" s="167">
        <v>0</v>
      </c>
      <c r="J78" s="117"/>
      <c r="K78" s="117"/>
      <c r="L78" s="167">
        <v>0</v>
      </c>
      <c r="M78" s="117"/>
      <c r="N78" s="117"/>
      <c r="O78" s="167">
        <v>2390</v>
      </c>
      <c r="P78" s="117"/>
      <c r="Q78" s="138">
        <f t="shared" ref="Q78:Q132" si="1">(H78/G78)*100</f>
        <v>0</v>
      </c>
    </row>
    <row r="79" spans="2:17" x14ac:dyDescent="0.2">
      <c r="B79" s="164" t="s">
        <v>143</v>
      </c>
      <c r="C79" s="165" t="s">
        <v>142</v>
      </c>
      <c r="D79" s="117"/>
      <c r="E79" s="117"/>
      <c r="F79" s="117"/>
      <c r="G79" s="166">
        <v>800</v>
      </c>
      <c r="H79" s="166">
        <v>12905.88</v>
      </c>
      <c r="I79" s="167">
        <v>0</v>
      </c>
      <c r="J79" s="117"/>
      <c r="K79" s="117"/>
      <c r="L79" s="167">
        <v>12905.88</v>
      </c>
      <c r="M79" s="117"/>
      <c r="N79" s="117"/>
      <c r="O79" s="167">
        <v>-12105.88</v>
      </c>
      <c r="P79" s="117"/>
      <c r="Q79" s="138">
        <f t="shared" si="1"/>
        <v>1613.2349999999999</v>
      </c>
    </row>
    <row r="80" spans="2:17" x14ac:dyDescent="0.2">
      <c r="B80" s="164" t="s">
        <v>141</v>
      </c>
      <c r="C80" s="165" t="s">
        <v>140</v>
      </c>
      <c r="D80" s="117"/>
      <c r="E80" s="117"/>
      <c r="F80" s="117"/>
      <c r="G80" s="166">
        <v>1060</v>
      </c>
      <c r="H80" s="166">
        <v>526.25</v>
      </c>
      <c r="I80" s="167">
        <v>0</v>
      </c>
      <c r="J80" s="117"/>
      <c r="K80" s="117"/>
      <c r="L80" s="167">
        <v>526.25</v>
      </c>
      <c r="M80" s="117"/>
      <c r="N80" s="117"/>
      <c r="O80" s="167">
        <v>533.75</v>
      </c>
      <c r="P80" s="117"/>
      <c r="Q80" s="138">
        <f t="shared" si="1"/>
        <v>49.64622641509434</v>
      </c>
    </row>
    <row r="81" spans="2:18" x14ac:dyDescent="0.2">
      <c r="B81" s="164" t="s">
        <v>139</v>
      </c>
      <c r="C81" s="165" t="s">
        <v>138</v>
      </c>
      <c r="D81" s="117"/>
      <c r="E81" s="117"/>
      <c r="F81" s="117"/>
      <c r="G81" s="166">
        <v>930</v>
      </c>
      <c r="H81" s="166">
        <v>162.74</v>
      </c>
      <c r="I81" s="167">
        <v>0</v>
      </c>
      <c r="J81" s="117"/>
      <c r="K81" s="117"/>
      <c r="L81" s="167">
        <v>162.74</v>
      </c>
      <c r="M81" s="117"/>
      <c r="N81" s="117"/>
      <c r="O81" s="167">
        <v>767.26</v>
      </c>
      <c r="P81" s="117"/>
      <c r="Q81" s="138">
        <f t="shared" si="1"/>
        <v>17.498924731182797</v>
      </c>
    </row>
    <row r="82" spans="2:18" x14ac:dyDescent="0.2">
      <c r="B82" s="164" t="s">
        <v>134</v>
      </c>
      <c r="C82" s="165" t="s">
        <v>133</v>
      </c>
      <c r="D82" s="117"/>
      <c r="E82" s="117"/>
      <c r="F82" s="117"/>
      <c r="G82" s="166">
        <v>930</v>
      </c>
      <c r="H82" s="166">
        <v>0</v>
      </c>
      <c r="I82" s="167">
        <v>0</v>
      </c>
      <c r="J82" s="117"/>
      <c r="K82" s="117"/>
      <c r="L82" s="167">
        <v>0</v>
      </c>
      <c r="M82" s="117"/>
      <c r="N82" s="117"/>
      <c r="O82" s="167">
        <v>930</v>
      </c>
      <c r="P82" s="117"/>
      <c r="Q82" s="138">
        <f t="shared" si="1"/>
        <v>0</v>
      </c>
    </row>
    <row r="83" spans="2:18" x14ac:dyDescent="0.2">
      <c r="B83" s="164" t="s">
        <v>132</v>
      </c>
      <c r="C83" s="165" t="s">
        <v>131</v>
      </c>
      <c r="D83" s="117"/>
      <c r="E83" s="117"/>
      <c r="F83" s="117"/>
      <c r="G83" s="166">
        <v>270</v>
      </c>
      <c r="H83" s="166">
        <v>110.6</v>
      </c>
      <c r="I83" s="167">
        <v>0</v>
      </c>
      <c r="J83" s="117"/>
      <c r="K83" s="117"/>
      <c r="L83" s="167">
        <v>110.6</v>
      </c>
      <c r="M83" s="117"/>
      <c r="N83" s="117"/>
      <c r="O83" s="167">
        <v>159.4</v>
      </c>
      <c r="P83" s="117"/>
      <c r="Q83" s="138">
        <f t="shared" si="1"/>
        <v>40.962962962962962</v>
      </c>
    </row>
    <row r="84" spans="2:18" x14ac:dyDescent="0.2">
      <c r="B84" s="164" t="s">
        <v>130</v>
      </c>
      <c r="C84" s="165" t="s">
        <v>129</v>
      </c>
      <c r="D84" s="117"/>
      <c r="E84" s="117"/>
      <c r="F84" s="117"/>
      <c r="G84" s="166">
        <v>130</v>
      </c>
      <c r="H84" s="166">
        <v>35</v>
      </c>
      <c r="I84" s="167">
        <v>0</v>
      </c>
      <c r="J84" s="117"/>
      <c r="K84" s="117"/>
      <c r="L84" s="167">
        <v>35</v>
      </c>
      <c r="M84" s="117"/>
      <c r="N84" s="117"/>
      <c r="O84" s="167">
        <v>95</v>
      </c>
      <c r="P84" s="117"/>
      <c r="Q84" s="138">
        <f t="shared" si="1"/>
        <v>26.923076923076923</v>
      </c>
    </row>
    <row r="85" spans="2:18" x14ac:dyDescent="0.2">
      <c r="B85" s="164" t="s">
        <v>128</v>
      </c>
      <c r="C85" s="165" t="s">
        <v>127</v>
      </c>
      <c r="D85" s="117"/>
      <c r="E85" s="117"/>
      <c r="F85" s="117"/>
      <c r="G85" s="166">
        <v>0</v>
      </c>
      <c r="H85" s="166">
        <v>0</v>
      </c>
      <c r="I85" s="167">
        <v>0</v>
      </c>
      <c r="J85" s="117"/>
      <c r="K85" s="117"/>
      <c r="L85" s="167">
        <v>0</v>
      </c>
      <c r="M85" s="117"/>
      <c r="N85" s="117"/>
      <c r="O85" s="167">
        <v>0</v>
      </c>
      <c r="P85" s="117"/>
      <c r="Q85" s="138"/>
    </row>
    <row r="86" spans="2:18" x14ac:dyDescent="0.2">
      <c r="B86" s="164" t="s">
        <v>124</v>
      </c>
      <c r="C86" s="165" t="s">
        <v>123</v>
      </c>
      <c r="D86" s="117"/>
      <c r="E86" s="117"/>
      <c r="F86" s="117"/>
      <c r="G86" s="166">
        <v>930</v>
      </c>
      <c r="H86" s="166">
        <v>959.8</v>
      </c>
      <c r="I86" s="167">
        <v>0</v>
      </c>
      <c r="J86" s="117"/>
      <c r="K86" s="117"/>
      <c r="L86" s="167">
        <v>959.8</v>
      </c>
      <c r="M86" s="117"/>
      <c r="N86" s="117"/>
      <c r="O86" s="167">
        <v>-29.8</v>
      </c>
      <c r="P86" s="117"/>
      <c r="Q86" s="138">
        <f t="shared" si="1"/>
        <v>103.20430107526882</v>
      </c>
    </row>
    <row r="87" spans="2:18" x14ac:dyDescent="0.2">
      <c r="B87" s="164" t="s">
        <v>122</v>
      </c>
      <c r="C87" s="165" t="s">
        <v>121</v>
      </c>
      <c r="D87" s="117"/>
      <c r="E87" s="117"/>
      <c r="F87" s="117"/>
      <c r="G87" s="166">
        <v>660</v>
      </c>
      <c r="H87" s="166">
        <v>275.56</v>
      </c>
      <c r="I87" s="167">
        <v>0</v>
      </c>
      <c r="J87" s="117"/>
      <c r="K87" s="117"/>
      <c r="L87" s="167">
        <v>275.56</v>
      </c>
      <c r="M87" s="117"/>
      <c r="N87" s="117"/>
      <c r="O87" s="167">
        <v>384.44</v>
      </c>
      <c r="P87" s="117"/>
      <c r="Q87" s="138">
        <f t="shared" si="1"/>
        <v>41.75151515151515</v>
      </c>
    </row>
    <row r="88" spans="2:18" x14ac:dyDescent="0.2">
      <c r="B88" s="164" t="s">
        <v>118</v>
      </c>
      <c r="C88" s="165" t="s">
        <v>117</v>
      </c>
      <c r="D88" s="117"/>
      <c r="E88" s="117"/>
      <c r="F88" s="117"/>
      <c r="G88" s="166">
        <v>400</v>
      </c>
      <c r="H88" s="166">
        <v>275.56</v>
      </c>
      <c r="I88" s="167">
        <v>0</v>
      </c>
      <c r="J88" s="117"/>
      <c r="K88" s="117"/>
      <c r="L88" s="167">
        <v>275.56</v>
      </c>
      <c r="M88" s="117"/>
      <c r="N88" s="117"/>
      <c r="O88" s="167">
        <v>124.44</v>
      </c>
      <c r="P88" s="117"/>
      <c r="Q88" s="138">
        <f t="shared" si="1"/>
        <v>68.89</v>
      </c>
    </row>
    <row r="89" spans="2:18" x14ac:dyDescent="0.2">
      <c r="B89" s="164" t="s">
        <v>116</v>
      </c>
      <c r="C89" s="165" t="s">
        <v>115</v>
      </c>
      <c r="D89" s="117"/>
      <c r="E89" s="117"/>
      <c r="F89" s="117"/>
      <c r="G89" s="166">
        <v>130</v>
      </c>
      <c r="H89" s="166">
        <v>0</v>
      </c>
      <c r="I89" s="167">
        <v>0</v>
      </c>
      <c r="J89" s="117"/>
      <c r="K89" s="117"/>
      <c r="L89" s="167">
        <v>0</v>
      </c>
      <c r="M89" s="117"/>
      <c r="N89" s="117"/>
      <c r="O89" s="167">
        <v>130</v>
      </c>
      <c r="P89" s="117"/>
      <c r="Q89" s="138">
        <f t="shared" si="1"/>
        <v>0</v>
      </c>
    </row>
    <row r="90" spans="2:18" x14ac:dyDescent="0.2">
      <c r="B90" s="164" t="s">
        <v>114</v>
      </c>
      <c r="C90" s="165" t="s">
        <v>113</v>
      </c>
      <c r="D90" s="117"/>
      <c r="E90" s="117"/>
      <c r="F90" s="117"/>
      <c r="G90" s="166">
        <v>130</v>
      </c>
      <c r="H90" s="166">
        <v>0</v>
      </c>
      <c r="I90" s="167">
        <v>0</v>
      </c>
      <c r="J90" s="117"/>
      <c r="K90" s="117"/>
      <c r="L90" s="167">
        <v>0</v>
      </c>
      <c r="M90" s="117"/>
      <c r="N90" s="117"/>
      <c r="O90" s="167">
        <v>130</v>
      </c>
      <c r="P90" s="117"/>
      <c r="Q90" s="138">
        <f t="shared" si="1"/>
        <v>0</v>
      </c>
    </row>
    <row r="91" spans="2:18" ht="22.5" x14ac:dyDescent="0.2">
      <c r="B91" s="160" t="s">
        <v>250</v>
      </c>
      <c r="C91" s="161" t="s">
        <v>251</v>
      </c>
      <c r="D91" s="117"/>
      <c r="E91" s="117"/>
      <c r="F91" s="117"/>
      <c r="G91" s="162">
        <v>5620</v>
      </c>
      <c r="H91" s="162">
        <v>0</v>
      </c>
      <c r="I91" s="163">
        <v>0</v>
      </c>
      <c r="J91" s="117"/>
      <c r="K91" s="117"/>
      <c r="L91" s="163">
        <v>0</v>
      </c>
      <c r="M91" s="117"/>
      <c r="N91" s="117"/>
      <c r="O91" s="163">
        <v>5620</v>
      </c>
      <c r="P91" s="117"/>
      <c r="Q91" s="138">
        <f t="shared" si="1"/>
        <v>0</v>
      </c>
    </row>
    <row r="92" spans="2:18" x14ac:dyDescent="0.2">
      <c r="B92" s="164" t="s">
        <v>93</v>
      </c>
      <c r="C92" s="165" t="s">
        <v>92</v>
      </c>
      <c r="D92" s="117"/>
      <c r="E92" s="117"/>
      <c r="F92" s="117"/>
      <c r="G92" s="166">
        <v>5620</v>
      </c>
      <c r="H92" s="166">
        <v>0</v>
      </c>
      <c r="I92" s="167">
        <v>0</v>
      </c>
      <c r="J92" s="117"/>
      <c r="K92" s="117"/>
      <c r="L92" s="167">
        <v>0</v>
      </c>
      <c r="M92" s="117"/>
      <c r="N92" s="117"/>
      <c r="O92" s="167">
        <v>5620</v>
      </c>
      <c r="P92" s="117"/>
      <c r="Q92" s="138">
        <f t="shared" si="1"/>
        <v>0</v>
      </c>
    </row>
    <row r="93" spans="2:18" x14ac:dyDescent="0.2">
      <c r="B93" s="164" t="s">
        <v>89</v>
      </c>
      <c r="C93" s="165" t="s">
        <v>88</v>
      </c>
      <c r="D93" s="117"/>
      <c r="E93" s="117"/>
      <c r="F93" s="117"/>
      <c r="G93" s="166">
        <v>0</v>
      </c>
      <c r="H93" s="166">
        <v>0</v>
      </c>
      <c r="I93" s="167">
        <v>0</v>
      </c>
      <c r="J93" s="117"/>
      <c r="K93" s="117"/>
      <c r="L93" s="167">
        <v>0</v>
      </c>
      <c r="M93" s="117"/>
      <c r="N93" s="117"/>
      <c r="O93" s="167">
        <v>0</v>
      </c>
      <c r="P93" s="117"/>
      <c r="Q93" s="138"/>
    </row>
    <row r="94" spans="2:18" x14ac:dyDescent="0.2">
      <c r="B94" s="164" t="s">
        <v>85</v>
      </c>
      <c r="C94" s="165" t="s">
        <v>84</v>
      </c>
      <c r="D94" s="117"/>
      <c r="E94" s="117"/>
      <c r="F94" s="117"/>
      <c r="G94" s="166">
        <v>5620</v>
      </c>
      <c r="H94" s="166">
        <v>0</v>
      </c>
      <c r="I94" s="167">
        <v>0</v>
      </c>
      <c r="J94" s="117"/>
      <c r="K94" s="117"/>
      <c r="L94" s="167">
        <v>0</v>
      </c>
      <c r="M94" s="117"/>
      <c r="N94" s="117"/>
      <c r="O94" s="167">
        <v>5620</v>
      </c>
      <c r="P94" s="117"/>
      <c r="Q94" s="138">
        <f t="shared" si="1"/>
        <v>0</v>
      </c>
    </row>
    <row r="95" spans="2:18" x14ac:dyDescent="0.2">
      <c r="B95" s="164" t="s">
        <v>75</v>
      </c>
      <c r="C95" s="165" t="s">
        <v>74</v>
      </c>
      <c r="D95" s="117"/>
      <c r="E95" s="117"/>
      <c r="F95" s="117"/>
      <c r="G95" s="166">
        <v>0</v>
      </c>
      <c r="H95" s="166">
        <v>0</v>
      </c>
      <c r="I95" s="167">
        <v>0</v>
      </c>
      <c r="J95" s="117"/>
      <c r="K95" s="117"/>
      <c r="L95" s="167">
        <v>0</v>
      </c>
      <c r="M95" s="117"/>
      <c r="N95" s="117"/>
      <c r="O95" s="167">
        <v>0</v>
      </c>
      <c r="P95" s="117"/>
      <c r="Q95" s="138"/>
    </row>
    <row r="96" spans="2:18" x14ac:dyDescent="0.2">
      <c r="B96" s="147" t="s">
        <v>258</v>
      </c>
      <c r="C96" s="148" t="s">
        <v>259</v>
      </c>
      <c r="D96" s="117"/>
      <c r="E96" s="117"/>
      <c r="F96" s="117"/>
      <c r="G96" s="149">
        <v>3400</v>
      </c>
      <c r="H96" s="149">
        <v>1156.57</v>
      </c>
      <c r="I96" s="150">
        <v>0</v>
      </c>
      <c r="J96" s="117"/>
      <c r="K96" s="117"/>
      <c r="L96" s="150">
        <v>1156.57</v>
      </c>
      <c r="M96" s="117"/>
      <c r="N96" s="117"/>
      <c r="O96" s="150">
        <v>2243.4299999999998</v>
      </c>
      <c r="P96" s="117"/>
      <c r="Q96" s="151">
        <f t="shared" si="1"/>
        <v>34.016764705882352</v>
      </c>
      <c r="R96" s="115" t="s">
        <v>301</v>
      </c>
    </row>
    <row r="97" spans="2:18" x14ac:dyDescent="0.2">
      <c r="B97" s="152" t="s">
        <v>260</v>
      </c>
      <c r="C97" s="153" t="s">
        <v>259</v>
      </c>
      <c r="D97" s="117"/>
      <c r="E97" s="117"/>
      <c r="F97" s="117"/>
      <c r="G97" s="154">
        <v>3400</v>
      </c>
      <c r="H97" s="154">
        <v>1156.57</v>
      </c>
      <c r="I97" s="155">
        <v>0</v>
      </c>
      <c r="J97" s="117"/>
      <c r="K97" s="117"/>
      <c r="L97" s="155">
        <v>1156.57</v>
      </c>
      <c r="M97" s="117"/>
      <c r="N97" s="117"/>
      <c r="O97" s="155">
        <v>2243.4299999999998</v>
      </c>
      <c r="P97" s="117"/>
      <c r="Q97" s="151">
        <f t="shared" si="1"/>
        <v>34.016764705882352</v>
      </c>
    </row>
    <row r="98" spans="2:18" x14ac:dyDescent="0.2">
      <c r="B98" s="156" t="s">
        <v>240</v>
      </c>
      <c r="C98" s="157" t="s">
        <v>241</v>
      </c>
      <c r="D98" s="117"/>
      <c r="E98" s="117"/>
      <c r="F98" s="117"/>
      <c r="G98" s="158">
        <v>3400</v>
      </c>
      <c r="H98" s="158">
        <v>1156.57</v>
      </c>
      <c r="I98" s="159">
        <v>0</v>
      </c>
      <c r="J98" s="117"/>
      <c r="K98" s="117"/>
      <c r="L98" s="159">
        <v>1156.57</v>
      </c>
      <c r="M98" s="117"/>
      <c r="N98" s="117"/>
      <c r="O98" s="159">
        <v>2243.4299999999998</v>
      </c>
      <c r="P98" s="117"/>
      <c r="Q98" s="138">
        <f t="shared" si="1"/>
        <v>34.016764705882352</v>
      </c>
    </row>
    <row r="99" spans="2:18" ht="22.5" x14ac:dyDescent="0.2">
      <c r="B99" s="160" t="s">
        <v>242</v>
      </c>
      <c r="C99" s="161" t="s">
        <v>243</v>
      </c>
      <c r="D99" s="117"/>
      <c r="E99" s="117"/>
      <c r="F99" s="117"/>
      <c r="G99" s="162">
        <v>1800</v>
      </c>
      <c r="H99" s="162">
        <v>971.45</v>
      </c>
      <c r="I99" s="163">
        <v>0</v>
      </c>
      <c r="J99" s="117"/>
      <c r="K99" s="117"/>
      <c r="L99" s="163">
        <v>971.45</v>
      </c>
      <c r="M99" s="117"/>
      <c r="N99" s="117"/>
      <c r="O99" s="163">
        <v>828.55</v>
      </c>
      <c r="P99" s="117"/>
      <c r="Q99" s="138">
        <f t="shared" si="1"/>
        <v>53.969444444444449</v>
      </c>
    </row>
    <row r="100" spans="2:18" x14ac:dyDescent="0.2">
      <c r="B100" s="164" t="s">
        <v>201</v>
      </c>
      <c r="C100" s="165" t="s">
        <v>200</v>
      </c>
      <c r="D100" s="117"/>
      <c r="E100" s="117"/>
      <c r="F100" s="117"/>
      <c r="G100" s="166">
        <v>400</v>
      </c>
      <c r="H100" s="166">
        <v>33.18</v>
      </c>
      <c r="I100" s="167">
        <v>0</v>
      </c>
      <c r="J100" s="117"/>
      <c r="K100" s="117"/>
      <c r="L100" s="167">
        <v>33.18</v>
      </c>
      <c r="M100" s="117"/>
      <c r="N100" s="117"/>
      <c r="O100" s="167">
        <v>366.82</v>
      </c>
      <c r="P100" s="117"/>
      <c r="Q100" s="138">
        <f t="shared" si="1"/>
        <v>8.2949999999999999</v>
      </c>
    </row>
    <row r="101" spans="2:18" x14ac:dyDescent="0.2">
      <c r="B101" s="164" t="s">
        <v>190</v>
      </c>
      <c r="C101" s="165" t="s">
        <v>189</v>
      </c>
      <c r="D101" s="117"/>
      <c r="E101" s="117"/>
      <c r="F101" s="117"/>
      <c r="G101" s="166">
        <v>400</v>
      </c>
      <c r="H101" s="166">
        <v>33.18</v>
      </c>
      <c r="I101" s="167">
        <v>0</v>
      </c>
      <c r="J101" s="117"/>
      <c r="K101" s="117"/>
      <c r="L101" s="167">
        <v>33.18</v>
      </c>
      <c r="M101" s="117"/>
      <c r="N101" s="117"/>
      <c r="O101" s="167">
        <v>366.82</v>
      </c>
      <c r="P101" s="117"/>
      <c r="Q101" s="138">
        <f t="shared" si="1"/>
        <v>8.2949999999999999</v>
      </c>
    </row>
    <row r="102" spans="2:18" x14ac:dyDescent="0.2">
      <c r="B102" s="164" t="s">
        <v>183</v>
      </c>
      <c r="C102" s="165" t="s">
        <v>182</v>
      </c>
      <c r="D102" s="117"/>
      <c r="E102" s="117"/>
      <c r="F102" s="117"/>
      <c r="G102" s="166">
        <v>1400</v>
      </c>
      <c r="H102" s="166">
        <v>938.27</v>
      </c>
      <c r="I102" s="167">
        <v>0</v>
      </c>
      <c r="J102" s="117"/>
      <c r="K102" s="117"/>
      <c r="L102" s="167">
        <v>938.27</v>
      </c>
      <c r="M102" s="117"/>
      <c r="N102" s="117"/>
      <c r="O102" s="167">
        <v>461.73</v>
      </c>
      <c r="P102" s="117"/>
      <c r="Q102" s="138">
        <f t="shared" si="1"/>
        <v>67.019285714285715</v>
      </c>
    </row>
    <row r="103" spans="2:18" x14ac:dyDescent="0.2">
      <c r="B103" s="164" t="s">
        <v>173</v>
      </c>
      <c r="C103" s="165" t="s">
        <v>172</v>
      </c>
      <c r="D103" s="117"/>
      <c r="E103" s="117"/>
      <c r="F103" s="117"/>
      <c r="G103" s="166">
        <v>300</v>
      </c>
      <c r="H103" s="166">
        <v>29.6</v>
      </c>
      <c r="I103" s="167">
        <v>0</v>
      </c>
      <c r="J103" s="117"/>
      <c r="K103" s="117"/>
      <c r="L103" s="167">
        <v>29.6</v>
      </c>
      <c r="M103" s="117"/>
      <c r="N103" s="117"/>
      <c r="O103" s="167">
        <v>270.39999999999998</v>
      </c>
      <c r="P103" s="117"/>
      <c r="Q103" s="138">
        <f t="shared" si="1"/>
        <v>9.8666666666666671</v>
      </c>
    </row>
    <row r="104" spans="2:18" x14ac:dyDescent="0.2">
      <c r="B104" s="164" t="s">
        <v>169</v>
      </c>
      <c r="C104" s="165" t="s">
        <v>168</v>
      </c>
      <c r="D104" s="117"/>
      <c r="E104" s="117"/>
      <c r="F104" s="117"/>
      <c r="G104" s="166">
        <v>1100</v>
      </c>
      <c r="H104" s="166">
        <v>0</v>
      </c>
      <c r="I104" s="167">
        <v>0</v>
      </c>
      <c r="J104" s="117"/>
      <c r="K104" s="117"/>
      <c r="L104" s="167">
        <v>0</v>
      </c>
      <c r="M104" s="117"/>
      <c r="N104" s="117"/>
      <c r="O104" s="167">
        <v>1100</v>
      </c>
      <c r="P104" s="117"/>
      <c r="Q104" s="138">
        <f t="shared" si="1"/>
        <v>0</v>
      </c>
    </row>
    <row r="105" spans="2:18" x14ac:dyDescent="0.2">
      <c r="B105" s="164" t="s">
        <v>167</v>
      </c>
      <c r="C105" s="165" t="s">
        <v>166</v>
      </c>
      <c r="D105" s="117"/>
      <c r="E105" s="117"/>
      <c r="F105" s="117"/>
      <c r="G105" s="166">
        <v>0</v>
      </c>
      <c r="H105" s="166">
        <v>0</v>
      </c>
      <c r="I105" s="167">
        <v>0</v>
      </c>
      <c r="J105" s="117"/>
      <c r="K105" s="117"/>
      <c r="L105" s="167">
        <v>0</v>
      </c>
      <c r="M105" s="117"/>
      <c r="N105" s="117"/>
      <c r="O105" s="167">
        <v>0</v>
      </c>
      <c r="P105" s="117"/>
      <c r="Q105" s="138"/>
    </row>
    <row r="106" spans="2:18" x14ac:dyDescent="0.2">
      <c r="B106" s="164" t="s">
        <v>143</v>
      </c>
      <c r="C106" s="165" t="s">
        <v>142</v>
      </c>
      <c r="D106" s="117"/>
      <c r="E106" s="117"/>
      <c r="F106" s="117"/>
      <c r="G106" s="166">
        <v>0</v>
      </c>
      <c r="H106" s="166">
        <v>199.08</v>
      </c>
      <c r="I106" s="167">
        <v>0</v>
      </c>
      <c r="J106" s="117"/>
      <c r="K106" s="117"/>
      <c r="L106" s="167">
        <v>199.08</v>
      </c>
      <c r="M106" s="117"/>
      <c r="N106" s="117"/>
      <c r="O106" s="167">
        <v>-199.08</v>
      </c>
      <c r="P106" s="117"/>
      <c r="Q106" s="138"/>
    </row>
    <row r="107" spans="2:18" x14ac:dyDescent="0.2">
      <c r="B107" s="164" t="s">
        <v>124</v>
      </c>
      <c r="C107" s="165" t="s">
        <v>123</v>
      </c>
      <c r="D107" s="117"/>
      <c r="E107" s="117"/>
      <c r="F107" s="117"/>
      <c r="G107" s="166">
        <v>0</v>
      </c>
      <c r="H107" s="166">
        <v>709.59</v>
      </c>
      <c r="I107" s="167">
        <v>0</v>
      </c>
      <c r="J107" s="117"/>
      <c r="K107" s="117"/>
      <c r="L107" s="167">
        <v>709.59</v>
      </c>
      <c r="M107" s="117"/>
      <c r="N107" s="117"/>
      <c r="O107" s="167">
        <v>-709.59</v>
      </c>
      <c r="P107" s="117"/>
      <c r="Q107" s="138"/>
    </row>
    <row r="108" spans="2:18" ht="22.5" x14ac:dyDescent="0.2">
      <c r="B108" s="160" t="s">
        <v>250</v>
      </c>
      <c r="C108" s="161" t="s">
        <v>251</v>
      </c>
      <c r="D108" s="117"/>
      <c r="E108" s="117"/>
      <c r="F108" s="117"/>
      <c r="G108" s="162">
        <v>1600</v>
      </c>
      <c r="H108" s="162">
        <v>185.12</v>
      </c>
      <c r="I108" s="163">
        <v>0</v>
      </c>
      <c r="J108" s="117"/>
      <c r="K108" s="117"/>
      <c r="L108" s="163">
        <v>185.12</v>
      </c>
      <c r="M108" s="117"/>
      <c r="N108" s="117"/>
      <c r="O108" s="163">
        <v>1414.88</v>
      </c>
      <c r="P108" s="117"/>
      <c r="Q108" s="138">
        <f t="shared" si="1"/>
        <v>11.57</v>
      </c>
    </row>
    <row r="109" spans="2:18" x14ac:dyDescent="0.2">
      <c r="B109" s="164" t="s">
        <v>93</v>
      </c>
      <c r="C109" s="165" t="s">
        <v>92</v>
      </c>
      <c r="D109" s="117"/>
      <c r="E109" s="117"/>
      <c r="F109" s="117"/>
      <c r="G109" s="166">
        <v>1600</v>
      </c>
      <c r="H109" s="166">
        <v>185.12</v>
      </c>
      <c r="I109" s="167">
        <v>0</v>
      </c>
      <c r="J109" s="117"/>
      <c r="K109" s="117"/>
      <c r="L109" s="167">
        <v>185.12</v>
      </c>
      <c r="M109" s="117"/>
      <c r="N109" s="117"/>
      <c r="O109" s="167">
        <v>1414.88</v>
      </c>
      <c r="P109" s="117"/>
      <c r="Q109" s="138">
        <f t="shared" si="1"/>
        <v>11.57</v>
      </c>
    </row>
    <row r="110" spans="2:18" x14ac:dyDescent="0.2">
      <c r="B110" s="164" t="s">
        <v>85</v>
      </c>
      <c r="C110" s="165" t="s">
        <v>84</v>
      </c>
      <c r="D110" s="117"/>
      <c r="E110" s="117"/>
      <c r="F110" s="117"/>
      <c r="G110" s="166">
        <v>0</v>
      </c>
      <c r="H110" s="166">
        <v>0</v>
      </c>
      <c r="I110" s="167">
        <v>0</v>
      </c>
      <c r="J110" s="117"/>
      <c r="K110" s="117"/>
      <c r="L110" s="167">
        <v>0</v>
      </c>
      <c r="M110" s="117"/>
      <c r="N110" s="117"/>
      <c r="O110" s="167">
        <v>0</v>
      </c>
      <c r="P110" s="117"/>
      <c r="Q110" s="138"/>
    </row>
    <row r="111" spans="2:18" x14ac:dyDescent="0.2">
      <c r="B111" s="164" t="s">
        <v>75</v>
      </c>
      <c r="C111" s="165" t="s">
        <v>74</v>
      </c>
      <c r="D111" s="117"/>
      <c r="E111" s="117"/>
      <c r="F111" s="117"/>
      <c r="G111" s="166">
        <v>1600</v>
      </c>
      <c r="H111" s="166">
        <v>185.12</v>
      </c>
      <c r="I111" s="167">
        <v>0</v>
      </c>
      <c r="J111" s="117"/>
      <c r="K111" s="117"/>
      <c r="L111" s="167">
        <v>185.12</v>
      </c>
      <c r="M111" s="117"/>
      <c r="N111" s="117"/>
      <c r="O111" s="167">
        <v>1414.88</v>
      </c>
      <c r="P111" s="117"/>
      <c r="Q111" s="138">
        <f t="shared" si="1"/>
        <v>11.57</v>
      </c>
    </row>
    <row r="112" spans="2:18" x14ac:dyDescent="0.2">
      <c r="B112" s="147" t="s">
        <v>261</v>
      </c>
      <c r="C112" s="148" t="s">
        <v>262</v>
      </c>
      <c r="D112" s="117"/>
      <c r="E112" s="117"/>
      <c r="F112" s="117"/>
      <c r="G112" s="149">
        <v>9600</v>
      </c>
      <c r="H112" s="149">
        <v>6089.9</v>
      </c>
      <c r="I112" s="150">
        <v>0</v>
      </c>
      <c r="J112" s="117"/>
      <c r="K112" s="117"/>
      <c r="L112" s="150">
        <v>6089.9</v>
      </c>
      <c r="M112" s="117"/>
      <c r="N112" s="117"/>
      <c r="O112" s="150">
        <v>3510.1</v>
      </c>
      <c r="P112" s="117"/>
      <c r="Q112" s="151">
        <f t="shared" si="1"/>
        <v>63.436458333333334</v>
      </c>
      <c r="R112" s="115" t="s">
        <v>300</v>
      </c>
    </row>
    <row r="113" spans="2:18" x14ac:dyDescent="0.2">
      <c r="B113" s="152" t="s">
        <v>263</v>
      </c>
      <c r="C113" s="153" t="s">
        <v>264</v>
      </c>
      <c r="D113" s="117"/>
      <c r="E113" s="117"/>
      <c r="F113" s="117"/>
      <c r="G113" s="154">
        <v>9600</v>
      </c>
      <c r="H113" s="154">
        <v>6089.9</v>
      </c>
      <c r="I113" s="155">
        <v>0</v>
      </c>
      <c r="J113" s="117"/>
      <c r="K113" s="117"/>
      <c r="L113" s="155">
        <v>6089.9</v>
      </c>
      <c r="M113" s="117"/>
      <c r="N113" s="117"/>
      <c r="O113" s="155">
        <v>3510.1</v>
      </c>
      <c r="P113" s="117"/>
      <c r="Q113" s="151">
        <f t="shared" si="1"/>
        <v>63.436458333333334</v>
      </c>
    </row>
    <row r="114" spans="2:18" x14ac:dyDescent="0.2">
      <c r="B114" s="156" t="s">
        <v>240</v>
      </c>
      <c r="C114" s="157" t="s">
        <v>241</v>
      </c>
      <c r="D114" s="117"/>
      <c r="E114" s="117"/>
      <c r="F114" s="117"/>
      <c r="G114" s="158">
        <v>9600</v>
      </c>
      <c r="H114" s="158">
        <v>6089.9</v>
      </c>
      <c r="I114" s="159">
        <v>0</v>
      </c>
      <c r="J114" s="117"/>
      <c r="K114" s="117"/>
      <c r="L114" s="159">
        <v>6089.9</v>
      </c>
      <c r="M114" s="117"/>
      <c r="N114" s="117"/>
      <c r="O114" s="159">
        <v>3510.1</v>
      </c>
      <c r="P114" s="117"/>
      <c r="Q114" s="138">
        <f t="shared" si="1"/>
        <v>63.436458333333334</v>
      </c>
    </row>
    <row r="115" spans="2:18" ht="22.5" x14ac:dyDescent="0.2">
      <c r="B115" s="160" t="s">
        <v>242</v>
      </c>
      <c r="C115" s="161" t="s">
        <v>243</v>
      </c>
      <c r="D115" s="117"/>
      <c r="E115" s="117"/>
      <c r="F115" s="117"/>
      <c r="G115" s="162">
        <v>9600</v>
      </c>
      <c r="H115" s="162">
        <v>6089.9</v>
      </c>
      <c r="I115" s="163">
        <v>0</v>
      </c>
      <c r="J115" s="117"/>
      <c r="K115" s="117"/>
      <c r="L115" s="163">
        <v>6089.9</v>
      </c>
      <c r="M115" s="117"/>
      <c r="N115" s="117"/>
      <c r="O115" s="163">
        <v>3510.1</v>
      </c>
      <c r="P115" s="117"/>
      <c r="Q115" s="138">
        <f t="shared" si="1"/>
        <v>63.436458333333334</v>
      </c>
    </row>
    <row r="116" spans="2:18" x14ac:dyDescent="0.2">
      <c r="B116" s="164" t="s">
        <v>201</v>
      </c>
      <c r="C116" s="165" t="s">
        <v>200</v>
      </c>
      <c r="D116" s="117"/>
      <c r="E116" s="117"/>
      <c r="F116" s="117"/>
      <c r="G116" s="166">
        <v>400</v>
      </c>
      <c r="H116" s="166">
        <v>252.73</v>
      </c>
      <c r="I116" s="167">
        <v>0</v>
      </c>
      <c r="J116" s="117"/>
      <c r="K116" s="117"/>
      <c r="L116" s="167">
        <v>252.73</v>
      </c>
      <c r="M116" s="117"/>
      <c r="N116" s="117"/>
      <c r="O116" s="167">
        <v>147.27000000000001</v>
      </c>
      <c r="P116" s="117"/>
      <c r="Q116" s="138">
        <f t="shared" si="1"/>
        <v>63.182499999999997</v>
      </c>
    </row>
    <row r="117" spans="2:18" x14ac:dyDescent="0.2">
      <c r="B117" s="164" t="s">
        <v>190</v>
      </c>
      <c r="C117" s="165" t="s">
        <v>189</v>
      </c>
      <c r="D117" s="117"/>
      <c r="E117" s="117"/>
      <c r="F117" s="117"/>
      <c r="G117" s="166">
        <v>400</v>
      </c>
      <c r="H117" s="166">
        <v>252.73</v>
      </c>
      <c r="I117" s="167">
        <v>0</v>
      </c>
      <c r="J117" s="117"/>
      <c r="K117" s="117"/>
      <c r="L117" s="167">
        <v>252.73</v>
      </c>
      <c r="M117" s="117"/>
      <c r="N117" s="117"/>
      <c r="O117" s="167">
        <v>147.27000000000001</v>
      </c>
      <c r="P117" s="117"/>
      <c r="Q117" s="138">
        <f t="shared" si="1"/>
        <v>63.182499999999997</v>
      </c>
    </row>
    <row r="118" spans="2:18" x14ac:dyDescent="0.2">
      <c r="B118" s="164" t="s">
        <v>183</v>
      </c>
      <c r="C118" s="165" t="s">
        <v>182</v>
      </c>
      <c r="D118" s="117"/>
      <c r="E118" s="117"/>
      <c r="F118" s="117"/>
      <c r="G118" s="166">
        <v>9200</v>
      </c>
      <c r="H118" s="166">
        <v>5837.17</v>
      </c>
      <c r="I118" s="167">
        <v>0</v>
      </c>
      <c r="J118" s="117"/>
      <c r="K118" s="117"/>
      <c r="L118" s="167">
        <v>5837.17</v>
      </c>
      <c r="M118" s="117"/>
      <c r="N118" s="117"/>
      <c r="O118" s="167">
        <v>3362.83</v>
      </c>
      <c r="P118" s="117"/>
      <c r="Q118" s="138">
        <f t="shared" si="1"/>
        <v>63.447499999999998</v>
      </c>
    </row>
    <row r="119" spans="2:18" x14ac:dyDescent="0.2">
      <c r="B119" s="164" t="s">
        <v>179</v>
      </c>
      <c r="C119" s="165" t="s">
        <v>178</v>
      </c>
      <c r="D119" s="117"/>
      <c r="E119" s="117"/>
      <c r="F119" s="117"/>
      <c r="G119" s="166">
        <v>2600</v>
      </c>
      <c r="H119" s="166">
        <v>4352</v>
      </c>
      <c r="I119" s="167">
        <v>0</v>
      </c>
      <c r="J119" s="117"/>
      <c r="K119" s="117"/>
      <c r="L119" s="167">
        <v>4352</v>
      </c>
      <c r="M119" s="117"/>
      <c r="N119" s="117"/>
      <c r="O119" s="167">
        <v>-1752</v>
      </c>
      <c r="P119" s="117"/>
      <c r="Q119" s="138">
        <f t="shared" si="1"/>
        <v>167.38461538461539</v>
      </c>
    </row>
    <row r="120" spans="2:18" x14ac:dyDescent="0.2">
      <c r="B120" s="164" t="s">
        <v>143</v>
      </c>
      <c r="C120" s="165" t="s">
        <v>142</v>
      </c>
      <c r="D120" s="117"/>
      <c r="E120" s="117"/>
      <c r="F120" s="117"/>
      <c r="G120" s="166">
        <v>6600</v>
      </c>
      <c r="H120" s="166">
        <v>1475.55</v>
      </c>
      <c r="I120" s="167">
        <v>0</v>
      </c>
      <c r="J120" s="117"/>
      <c r="K120" s="117"/>
      <c r="L120" s="167">
        <v>1475.55</v>
      </c>
      <c r="M120" s="117"/>
      <c r="N120" s="117"/>
      <c r="O120" s="167">
        <v>5124.45</v>
      </c>
      <c r="P120" s="117"/>
      <c r="Q120" s="138">
        <f t="shared" si="1"/>
        <v>22.356818181818181</v>
      </c>
    </row>
    <row r="121" spans="2:18" x14ac:dyDescent="0.2">
      <c r="B121" s="164" t="s">
        <v>139</v>
      </c>
      <c r="C121" s="165" t="s">
        <v>138</v>
      </c>
      <c r="D121" s="117"/>
      <c r="E121" s="117"/>
      <c r="F121" s="117"/>
      <c r="G121" s="166">
        <v>0</v>
      </c>
      <c r="H121" s="166">
        <v>9.6199999999999992</v>
      </c>
      <c r="I121" s="167">
        <v>0</v>
      </c>
      <c r="J121" s="117"/>
      <c r="K121" s="117"/>
      <c r="L121" s="167">
        <v>9.6199999999999992</v>
      </c>
      <c r="M121" s="117"/>
      <c r="N121" s="117"/>
      <c r="O121" s="167">
        <v>-9.6199999999999992</v>
      </c>
      <c r="P121" s="117"/>
      <c r="Q121" s="138"/>
    </row>
    <row r="122" spans="2:18" x14ac:dyDescent="0.2">
      <c r="B122" s="147" t="s">
        <v>265</v>
      </c>
      <c r="C122" s="148" t="s">
        <v>266</v>
      </c>
      <c r="D122" s="117"/>
      <c r="E122" s="117"/>
      <c r="F122" s="117"/>
      <c r="G122" s="149">
        <v>1126000</v>
      </c>
      <c r="H122" s="149">
        <v>523784.36</v>
      </c>
      <c r="I122" s="150">
        <v>0</v>
      </c>
      <c r="J122" s="117"/>
      <c r="K122" s="117"/>
      <c r="L122" s="150">
        <v>523784.36</v>
      </c>
      <c r="M122" s="117"/>
      <c r="N122" s="117"/>
      <c r="O122" s="150">
        <v>602215.64</v>
      </c>
      <c r="P122" s="117"/>
      <c r="Q122" s="151">
        <f t="shared" si="1"/>
        <v>46.517261101243342</v>
      </c>
      <c r="R122" s="115" t="s">
        <v>291</v>
      </c>
    </row>
    <row r="123" spans="2:18" x14ac:dyDescent="0.2">
      <c r="B123" s="152" t="s">
        <v>267</v>
      </c>
      <c r="C123" s="153" t="s">
        <v>268</v>
      </c>
      <c r="D123" s="117"/>
      <c r="E123" s="117"/>
      <c r="F123" s="117"/>
      <c r="G123" s="154">
        <v>1087400</v>
      </c>
      <c r="H123" s="154">
        <v>516655.47</v>
      </c>
      <c r="I123" s="155">
        <v>0</v>
      </c>
      <c r="J123" s="117"/>
      <c r="K123" s="117"/>
      <c r="L123" s="155">
        <v>516655.47</v>
      </c>
      <c r="M123" s="117"/>
      <c r="N123" s="117"/>
      <c r="O123" s="155">
        <v>570744.53</v>
      </c>
      <c r="P123" s="117"/>
      <c r="Q123" s="151">
        <f t="shared" si="1"/>
        <v>47.512917969468454</v>
      </c>
    </row>
    <row r="124" spans="2:18" x14ac:dyDescent="0.2">
      <c r="B124" s="156" t="s">
        <v>240</v>
      </c>
      <c r="C124" s="157" t="s">
        <v>241</v>
      </c>
      <c r="D124" s="117"/>
      <c r="E124" s="117"/>
      <c r="F124" s="117"/>
      <c r="G124" s="158">
        <v>1087400</v>
      </c>
      <c r="H124" s="158">
        <v>516655.47</v>
      </c>
      <c r="I124" s="159">
        <v>0</v>
      </c>
      <c r="J124" s="117"/>
      <c r="K124" s="117"/>
      <c r="L124" s="159">
        <v>516655.47</v>
      </c>
      <c r="M124" s="117"/>
      <c r="N124" s="117"/>
      <c r="O124" s="159">
        <v>570744.53</v>
      </c>
      <c r="P124" s="117"/>
      <c r="Q124" s="138">
        <f t="shared" si="1"/>
        <v>47.512917969468454</v>
      </c>
    </row>
    <row r="125" spans="2:18" ht="22.5" x14ac:dyDescent="0.2">
      <c r="B125" s="160" t="s">
        <v>242</v>
      </c>
      <c r="C125" s="161" t="s">
        <v>243</v>
      </c>
      <c r="D125" s="117"/>
      <c r="E125" s="117"/>
      <c r="F125" s="117"/>
      <c r="G125" s="162">
        <v>1080900</v>
      </c>
      <c r="H125" s="162">
        <v>509667.03</v>
      </c>
      <c r="I125" s="163">
        <v>0</v>
      </c>
      <c r="J125" s="117"/>
      <c r="K125" s="117"/>
      <c r="L125" s="163">
        <v>509667.03</v>
      </c>
      <c r="M125" s="117"/>
      <c r="N125" s="117"/>
      <c r="O125" s="163">
        <v>571232.97</v>
      </c>
      <c r="P125" s="117"/>
      <c r="Q125" s="138">
        <f t="shared" si="1"/>
        <v>47.152098251457119</v>
      </c>
    </row>
    <row r="126" spans="2:18" x14ac:dyDescent="0.2">
      <c r="B126" s="164" t="s">
        <v>201</v>
      </c>
      <c r="C126" s="165" t="s">
        <v>200</v>
      </c>
      <c r="D126" s="117"/>
      <c r="E126" s="117"/>
      <c r="F126" s="117"/>
      <c r="G126" s="166">
        <v>1060000</v>
      </c>
      <c r="H126" s="166">
        <v>506337.08</v>
      </c>
      <c r="I126" s="167">
        <v>0</v>
      </c>
      <c r="J126" s="117"/>
      <c r="K126" s="117"/>
      <c r="L126" s="167">
        <v>506337.08</v>
      </c>
      <c r="M126" s="117"/>
      <c r="N126" s="117"/>
      <c r="O126" s="167">
        <v>553662.92000000004</v>
      </c>
      <c r="P126" s="117"/>
      <c r="Q126" s="138">
        <f t="shared" si="1"/>
        <v>47.767649056603773</v>
      </c>
    </row>
    <row r="127" spans="2:18" x14ac:dyDescent="0.2">
      <c r="B127" s="164" t="s">
        <v>197</v>
      </c>
      <c r="C127" s="165" t="s">
        <v>196</v>
      </c>
      <c r="D127" s="117"/>
      <c r="E127" s="117"/>
      <c r="F127" s="117"/>
      <c r="G127" s="166">
        <v>850000</v>
      </c>
      <c r="H127" s="166">
        <v>400674.14</v>
      </c>
      <c r="I127" s="167">
        <v>0</v>
      </c>
      <c r="J127" s="117"/>
      <c r="K127" s="117"/>
      <c r="L127" s="167">
        <v>400674.14</v>
      </c>
      <c r="M127" s="117"/>
      <c r="N127" s="117"/>
      <c r="O127" s="167">
        <v>449325.86</v>
      </c>
      <c r="P127" s="117"/>
      <c r="Q127" s="138">
        <f t="shared" si="1"/>
        <v>47.138134117647063</v>
      </c>
    </row>
    <row r="128" spans="2:18" x14ac:dyDescent="0.2">
      <c r="B128" s="164" t="s">
        <v>195</v>
      </c>
      <c r="C128" s="165" t="s">
        <v>194</v>
      </c>
      <c r="D128" s="117"/>
      <c r="E128" s="117"/>
      <c r="F128" s="117"/>
      <c r="G128" s="166">
        <v>15000</v>
      </c>
      <c r="H128" s="166">
        <v>7859.28</v>
      </c>
      <c r="I128" s="167">
        <v>0</v>
      </c>
      <c r="J128" s="117"/>
      <c r="K128" s="117"/>
      <c r="L128" s="167">
        <v>7859.28</v>
      </c>
      <c r="M128" s="117"/>
      <c r="N128" s="117"/>
      <c r="O128" s="167">
        <v>7140.72</v>
      </c>
      <c r="P128" s="117"/>
      <c r="Q128" s="138">
        <f t="shared" si="1"/>
        <v>52.395199999999996</v>
      </c>
    </row>
    <row r="129" spans="2:17" x14ac:dyDescent="0.2">
      <c r="B129" s="164" t="s">
        <v>193</v>
      </c>
      <c r="C129" s="165" t="s">
        <v>192</v>
      </c>
      <c r="D129" s="117"/>
      <c r="E129" s="117"/>
      <c r="F129" s="117"/>
      <c r="G129" s="166">
        <v>25000</v>
      </c>
      <c r="H129" s="166">
        <v>12898.67</v>
      </c>
      <c r="I129" s="167">
        <v>0</v>
      </c>
      <c r="J129" s="117"/>
      <c r="K129" s="117"/>
      <c r="L129" s="167">
        <v>12898.67</v>
      </c>
      <c r="M129" s="117"/>
      <c r="N129" s="117"/>
      <c r="O129" s="167">
        <v>12101.33</v>
      </c>
      <c r="P129" s="117"/>
      <c r="Q129" s="138">
        <f t="shared" si="1"/>
        <v>51.594680000000004</v>
      </c>
    </row>
    <row r="130" spans="2:17" x14ac:dyDescent="0.2">
      <c r="B130" s="164" t="s">
        <v>190</v>
      </c>
      <c r="C130" s="165" t="s">
        <v>189</v>
      </c>
      <c r="D130" s="117"/>
      <c r="E130" s="117"/>
      <c r="F130" s="117"/>
      <c r="G130" s="166">
        <v>25000</v>
      </c>
      <c r="H130" s="166">
        <v>15359.33</v>
      </c>
      <c r="I130" s="167">
        <v>0</v>
      </c>
      <c r="J130" s="117"/>
      <c r="K130" s="117"/>
      <c r="L130" s="167">
        <v>15359.33</v>
      </c>
      <c r="M130" s="117"/>
      <c r="N130" s="117"/>
      <c r="O130" s="167">
        <v>9640.67</v>
      </c>
      <c r="P130" s="117"/>
      <c r="Q130" s="138">
        <f t="shared" si="1"/>
        <v>61.437319999999993</v>
      </c>
    </row>
    <row r="131" spans="2:17" x14ac:dyDescent="0.2">
      <c r="B131" s="164" t="s">
        <v>186</v>
      </c>
      <c r="C131" s="165" t="s">
        <v>185</v>
      </c>
      <c r="D131" s="117"/>
      <c r="E131" s="117"/>
      <c r="F131" s="117"/>
      <c r="G131" s="166">
        <v>145000</v>
      </c>
      <c r="H131" s="166">
        <v>69545.66</v>
      </c>
      <c r="I131" s="167">
        <v>0</v>
      </c>
      <c r="J131" s="117"/>
      <c r="K131" s="117"/>
      <c r="L131" s="167">
        <v>69545.66</v>
      </c>
      <c r="M131" s="117"/>
      <c r="N131" s="117"/>
      <c r="O131" s="167">
        <v>75454.34</v>
      </c>
      <c r="P131" s="117"/>
      <c r="Q131" s="138">
        <f t="shared" si="1"/>
        <v>47.962524137931041</v>
      </c>
    </row>
    <row r="132" spans="2:17" x14ac:dyDescent="0.2">
      <c r="B132" s="164" t="s">
        <v>183</v>
      </c>
      <c r="C132" s="165" t="s">
        <v>182</v>
      </c>
      <c r="D132" s="117"/>
      <c r="E132" s="117"/>
      <c r="F132" s="117"/>
      <c r="G132" s="166">
        <v>20900</v>
      </c>
      <c r="H132" s="166">
        <v>3329.95</v>
      </c>
      <c r="I132" s="167">
        <v>0</v>
      </c>
      <c r="J132" s="117"/>
      <c r="K132" s="117"/>
      <c r="L132" s="167">
        <v>3329.95</v>
      </c>
      <c r="M132" s="117"/>
      <c r="N132" s="117"/>
      <c r="O132" s="167">
        <v>17570.05</v>
      </c>
      <c r="P132" s="117"/>
      <c r="Q132" s="138">
        <f t="shared" si="1"/>
        <v>15.932775119617224</v>
      </c>
    </row>
    <row r="133" spans="2:17" x14ac:dyDescent="0.2">
      <c r="B133" s="164" t="s">
        <v>179</v>
      </c>
      <c r="C133" s="165" t="s">
        <v>178</v>
      </c>
      <c r="D133" s="117"/>
      <c r="E133" s="117"/>
      <c r="F133" s="117"/>
      <c r="G133" s="166">
        <v>0</v>
      </c>
      <c r="H133" s="166">
        <v>106.22</v>
      </c>
      <c r="I133" s="167">
        <v>0</v>
      </c>
      <c r="J133" s="117"/>
      <c r="K133" s="117"/>
      <c r="L133" s="167">
        <v>106.22</v>
      </c>
      <c r="M133" s="117"/>
      <c r="N133" s="117"/>
      <c r="O133" s="167">
        <v>-106.22</v>
      </c>
      <c r="P133" s="117"/>
      <c r="Q133" s="138"/>
    </row>
    <row r="134" spans="2:17" x14ac:dyDescent="0.2">
      <c r="B134" s="164" t="s">
        <v>177</v>
      </c>
      <c r="C134" s="165" t="s">
        <v>176</v>
      </c>
      <c r="D134" s="117"/>
      <c r="E134" s="117"/>
      <c r="F134" s="117"/>
      <c r="G134" s="166">
        <v>0</v>
      </c>
      <c r="H134" s="166">
        <v>0</v>
      </c>
      <c r="I134" s="167">
        <v>0</v>
      </c>
      <c r="J134" s="117"/>
      <c r="K134" s="117"/>
      <c r="L134" s="167">
        <v>0</v>
      </c>
      <c r="M134" s="117"/>
      <c r="N134" s="117"/>
      <c r="O134" s="167">
        <v>0</v>
      </c>
      <c r="P134" s="117"/>
      <c r="Q134" s="138"/>
    </row>
    <row r="135" spans="2:17" x14ac:dyDescent="0.2">
      <c r="B135" s="164" t="s">
        <v>169</v>
      </c>
      <c r="C135" s="165" t="s">
        <v>168</v>
      </c>
      <c r="D135" s="117"/>
      <c r="E135" s="117"/>
      <c r="F135" s="117"/>
      <c r="G135" s="166">
        <v>0</v>
      </c>
      <c r="H135" s="166">
        <v>105</v>
      </c>
      <c r="I135" s="167">
        <v>0</v>
      </c>
      <c r="J135" s="117"/>
      <c r="K135" s="117"/>
      <c r="L135" s="167">
        <v>105</v>
      </c>
      <c r="M135" s="117"/>
      <c r="N135" s="117"/>
      <c r="O135" s="167">
        <v>-105</v>
      </c>
      <c r="P135" s="117"/>
      <c r="Q135" s="138"/>
    </row>
    <row r="136" spans="2:17" x14ac:dyDescent="0.2">
      <c r="B136" s="164" t="s">
        <v>167</v>
      </c>
      <c r="C136" s="165" t="s">
        <v>166</v>
      </c>
      <c r="D136" s="117"/>
      <c r="E136" s="117"/>
      <c r="F136" s="117"/>
      <c r="G136" s="166">
        <v>0</v>
      </c>
      <c r="H136" s="166">
        <v>0</v>
      </c>
      <c r="I136" s="167">
        <v>0</v>
      </c>
      <c r="J136" s="117"/>
      <c r="K136" s="117"/>
      <c r="L136" s="167">
        <v>0</v>
      </c>
      <c r="M136" s="117"/>
      <c r="N136" s="117"/>
      <c r="O136" s="167">
        <v>0</v>
      </c>
      <c r="P136" s="117"/>
      <c r="Q136" s="138"/>
    </row>
    <row r="137" spans="2:17" x14ac:dyDescent="0.2">
      <c r="B137" s="164" t="s">
        <v>165</v>
      </c>
      <c r="C137" s="165" t="s">
        <v>164</v>
      </c>
      <c r="D137" s="117"/>
      <c r="E137" s="117"/>
      <c r="F137" s="117"/>
      <c r="G137" s="166">
        <v>0</v>
      </c>
      <c r="H137" s="166">
        <v>0</v>
      </c>
      <c r="I137" s="167">
        <v>0</v>
      </c>
      <c r="J137" s="117"/>
      <c r="K137" s="117"/>
      <c r="L137" s="167">
        <v>0</v>
      </c>
      <c r="M137" s="117"/>
      <c r="N137" s="117"/>
      <c r="O137" s="167">
        <v>0</v>
      </c>
      <c r="P137" s="117"/>
      <c r="Q137" s="138"/>
    </row>
    <row r="138" spans="2:17" x14ac:dyDescent="0.2">
      <c r="B138" s="164" t="s">
        <v>155</v>
      </c>
      <c r="C138" s="165" t="s">
        <v>154</v>
      </c>
      <c r="D138" s="117"/>
      <c r="E138" s="117"/>
      <c r="F138" s="117"/>
      <c r="G138" s="166">
        <v>0</v>
      </c>
      <c r="H138" s="166">
        <v>0</v>
      </c>
      <c r="I138" s="167">
        <v>0</v>
      </c>
      <c r="J138" s="117"/>
      <c r="K138" s="117"/>
      <c r="L138" s="167">
        <v>0</v>
      </c>
      <c r="M138" s="117"/>
      <c r="N138" s="117"/>
      <c r="O138" s="167">
        <v>0</v>
      </c>
      <c r="P138" s="117"/>
      <c r="Q138" s="138"/>
    </row>
    <row r="139" spans="2:17" x14ac:dyDescent="0.2">
      <c r="B139" s="164" t="s">
        <v>145</v>
      </c>
      <c r="C139" s="165" t="s">
        <v>144</v>
      </c>
      <c r="D139" s="117"/>
      <c r="E139" s="117"/>
      <c r="F139" s="117"/>
      <c r="G139" s="166">
        <v>0</v>
      </c>
      <c r="H139" s="166">
        <v>0</v>
      </c>
      <c r="I139" s="167">
        <v>0</v>
      </c>
      <c r="J139" s="117"/>
      <c r="K139" s="117"/>
      <c r="L139" s="167">
        <v>0</v>
      </c>
      <c r="M139" s="117"/>
      <c r="N139" s="117"/>
      <c r="O139" s="167">
        <v>0</v>
      </c>
      <c r="P139" s="117"/>
      <c r="Q139" s="138"/>
    </row>
    <row r="140" spans="2:17" x14ac:dyDescent="0.2">
      <c r="B140" s="164" t="s">
        <v>143</v>
      </c>
      <c r="C140" s="165" t="s">
        <v>142</v>
      </c>
      <c r="D140" s="117"/>
      <c r="E140" s="117"/>
      <c r="F140" s="117"/>
      <c r="G140" s="166">
        <v>0</v>
      </c>
      <c r="H140" s="166">
        <v>401.35</v>
      </c>
      <c r="I140" s="167">
        <v>0</v>
      </c>
      <c r="J140" s="117"/>
      <c r="K140" s="117"/>
      <c r="L140" s="167">
        <v>401.35</v>
      </c>
      <c r="M140" s="117"/>
      <c r="N140" s="117"/>
      <c r="O140" s="167">
        <v>-401.35</v>
      </c>
      <c r="P140" s="117"/>
      <c r="Q140" s="138"/>
    </row>
    <row r="141" spans="2:17" x14ac:dyDescent="0.2">
      <c r="B141" s="164" t="s">
        <v>132</v>
      </c>
      <c r="C141" s="165" t="s">
        <v>131</v>
      </c>
      <c r="D141" s="117"/>
      <c r="E141" s="117"/>
      <c r="F141" s="117"/>
      <c r="G141" s="166">
        <v>0</v>
      </c>
      <c r="H141" s="166">
        <v>0</v>
      </c>
      <c r="I141" s="167">
        <v>0</v>
      </c>
      <c r="J141" s="117"/>
      <c r="K141" s="117"/>
      <c r="L141" s="167">
        <v>0</v>
      </c>
      <c r="M141" s="117"/>
      <c r="N141" s="117"/>
      <c r="O141" s="167">
        <v>0</v>
      </c>
      <c r="P141" s="117"/>
      <c r="Q141" s="138"/>
    </row>
    <row r="142" spans="2:17" x14ac:dyDescent="0.2">
      <c r="B142" s="164" t="s">
        <v>128</v>
      </c>
      <c r="C142" s="165" t="s">
        <v>127</v>
      </c>
      <c r="D142" s="117"/>
      <c r="E142" s="117"/>
      <c r="F142" s="117"/>
      <c r="G142" s="166">
        <v>900</v>
      </c>
      <c r="H142" s="166">
        <v>0</v>
      </c>
      <c r="I142" s="167">
        <v>0</v>
      </c>
      <c r="J142" s="117"/>
      <c r="K142" s="117"/>
      <c r="L142" s="167">
        <v>0</v>
      </c>
      <c r="M142" s="117"/>
      <c r="N142" s="117"/>
      <c r="O142" s="167">
        <v>900</v>
      </c>
      <c r="P142" s="117"/>
      <c r="Q142" s="138">
        <f t="shared" ref="Q142:Q187" si="2">(H142/G142)*100</f>
        <v>0</v>
      </c>
    </row>
    <row r="143" spans="2:17" x14ac:dyDescent="0.2">
      <c r="B143" s="164" t="s">
        <v>126</v>
      </c>
      <c r="C143" s="165" t="s">
        <v>125</v>
      </c>
      <c r="D143" s="117"/>
      <c r="E143" s="117"/>
      <c r="F143" s="117"/>
      <c r="G143" s="166">
        <v>20000</v>
      </c>
      <c r="H143" s="166">
        <v>0</v>
      </c>
      <c r="I143" s="167">
        <v>0</v>
      </c>
      <c r="J143" s="117"/>
      <c r="K143" s="117"/>
      <c r="L143" s="167">
        <v>0</v>
      </c>
      <c r="M143" s="117"/>
      <c r="N143" s="117"/>
      <c r="O143" s="167">
        <v>20000</v>
      </c>
      <c r="P143" s="117"/>
      <c r="Q143" s="138">
        <f t="shared" si="2"/>
        <v>0</v>
      </c>
    </row>
    <row r="144" spans="2:17" x14ac:dyDescent="0.2">
      <c r="B144" s="164" t="s">
        <v>124</v>
      </c>
      <c r="C144" s="165" t="s">
        <v>123</v>
      </c>
      <c r="D144" s="117"/>
      <c r="E144" s="117"/>
      <c r="F144" s="117"/>
      <c r="G144" s="166">
        <v>0</v>
      </c>
      <c r="H144" s="166">
        <v>2717.38</v>
      </c>
      <c r="I144" s="167">
        <v>0</v>
      </c>
      <c r="J144" s="117"/>
      <c r="K144" s="117"/>
      <c r="L144" s="167">
        <v>2717.38</v>
      </c>
      <c r="M144" s="117"/>
      <c r="N144" s="117"/>
      <c r="O144" s="167">
        <v>-2717.38</v>
      </c>
      <c r="P144" s="117"/>
      <c r="Q144" s="138"/>
    </row>
    <row r="145" spans="2:18" ht="22.5" x14ac:dyDescent="0.2">
      <c r="B145" s="160" t="s">
        <v>250</v>
      </c>
      <c r="C145" s="161" t="s">
        <v>251</v>
      </c>
      <c r="D145" s="117"/>
      <c r="E145" s="117"/>
      <c r="F145" s="117"/>
      <c r="G145" s="162">
        <v>6500</v>
      </c>
      <c r="H145" s="162">
        <v>5734.8</v>
      </c>
      <c r="I145" s="163">
        <v>0</v>
      </c>
      <c r="J145" s="117"/>
      <c r="K145" s="117"/>
      <c r="L145" s="163">
        <v>5734.8</v>
      </c>
      <c r="M145" s="117"/>
      <c r="N145" s="117"/>
      <c r="O145" s="163">
        <v>765.2</v>
      </c>
      <c r="P145" s="117"/>
      <c r="Q145" s="138">
        <f t="shared" si="2"/>
        <v>88.227692307692308</v>
      </c>
    </row>
    <row r="146" spans="2:18" x14ac:dyDescent="0.2">
      <c r="B146" s="164" t="s">
        <v>93</v>
      </c>
      <c r="C146" s="165" t="s">
        <v>92</v>
      </c>
      <c r="D146" s="117"/>
      <c r="E146" s="117"/>
      <c r="F146" s="117"/>
      <c r="G146" s="166">
        <v>6500</v>
      </c>
      <c r="H146" s="166">
        <v>5734.8</v>
      </c>
      <c r="I146" s="167">
        <v>0</v>
      </c>
      <c r="J146" s="117"/>
      <c r="K146" s="117"/>
      <c r="L146" s="167">
        <v>5734.8</v>
      </c>
      <c r="M146" s="117"/>
      <c r="N146" s="117"/>
      <c r="O146" s="167">
        <v>765.2</v>
      </c>
      <c r="P146" s="117"/>
      <c r="Q146" s="138">
        <f t="shared" si="2"/>
        <v>88.227692307692308</v>
      </c>
    </row>
    <row r="147" spans="2:18" x14ac:dyDescent="0.2">
      <c r="B147" s="164" t="s">
        <v>85</v>
      </c>
      <c r="C147" s="165" t="s">
        <v>84</v>
      </c>
      <c r="D147" s="117"/>
      <c r="E147" s="117"/>
      <c r="F147" s="117"/>
      <c r="G147" s="166">
        <v>5800</v>
      </c>
      <c r="H147" s="166">
        <v>5734.8</v>
      </c>
      <c r="I147" s="167">
        <v>0</v>
      </c>
      <c r="J147" s="117"/>
      <c r="K147" s="117"/>
      <c r="L147" s="167">
        <v>5734.8</v>
      </c>
      <c r="M147" s="117"/>
      <c r="N147" s="117"/>
      <c r="O147" s="167">
        <v>65.2</v>
      </c>
      <c r="P147" s="117"/>
      <c r="Q147" s="138">
        <f t="shared" si="2"/>
        <v>98.875862068965532</v>
      </c>
    </row>
    <row r="148" spans="2:18" x14ac:dyDescent="0.2">
      <c r="B148" s="164" t="s">
        <v>75</v>
      </c>
      <c r="C148" s="165" t="s">
        <v>74</v>
      </c>
      <c r="D148" s="117"/>
      <c r="E148" s="117"/>
      <c r="F148" s="117"/>
      <c r="G148" s="166">
        <v>700</v>
      </c>
      <c r="H148" s="166">
        <v>0</v>
      </c>
      <c r="I148" s="167">
        <v>0</v>
      </c>
      <c r="J148" s="117"/>
      <c r="K148" s="117"/>
      <c r="L148" s="167">
        <v>0</v>
      </c>
      <c r="M148" s="117"/>
      <c r="N148" s="117"/>
      <c r="O148" s="167">
        <v>700</v>
      </c>
      <c r="P148" s="117"/>
      <c r="Q148" s="138">
        <f t="shared" si="2"/>
        <v>0</v>
      </c>
    </row>
    <row r="149" spans="2:18" ht="22.5" x14ac:dyDescent="0.2">
      <c r="B149" s="160" t="s">
        <v>254</v>
      </c>
      <c r="C149" s="161" t="s">
        <v>255</v>
      </c>
      <c r="D149" s="117"/>
      <c r="E149" s="117"/>
      <c r="F149" s="117"/>
      <c r="G149" s="162">
        <v>0</v>
      </c>
      <c r="H149" s="162">
        <v>1253.6400000000001</v>
      </c>
      <c r="I149" s="163">
        <v>0</v>
      </c>
      <c r="J149" s="117"/>
      <c r="K149" s="117"/>
      <c r="L149" s="163">
        <v>1253.6400000000001</v>
      </c>
      <c r="M149" s="117"/>
      <c r="N149" s="117"/>
      <c r="O149" s="163">
        <v>-1253.6400000000001</v>
      </c>
      <c r="P149" s="117"/>
      <c r="Q149" s="138"/>
    </row>
    <row r="150" spans="2:18" x14ac:dyDescent="0.2">
      <c r="B150" s="164" t="s">
        <v>104</v>
      </c>
      <c r="C150" s="165" t="s">
        <v>103</v>
      </c>
      <c r="D150" s="117"/>
      <c r="E150" s="117"/>
      <c r="F150" s="117"/>
      <c r="G150" s="166">
        <v>0</v>
      </c>
      <c r="H150" s="166">
        <v>1253.6400000000001</v>
      </c>
      <c r="I150" s="167">
        <v>0</v>
      </c>
      <c r="J150" s="117"/>
      <c r="K150" s="117"/>
      <c r="L150" s="167">
        <v>1253.6400000000001</v>
      </c>
      <c r="M150" s="117"/>
      <c r="N150" s="117"/>
      <c r="O150" s="167">
        <v>-1253.6400000000001</v>
      </c>
      <c r="P150" s="117"/>
      <c r="Q150" s="138"/>
    </row>
    <row r="151" spans="2:18" x14ac:dyDescent="0.2">
      <c r="B151" s="164" t="s">
        <v>101</v>
      </c>
      <c r="C151" s="165" t="s">
        <v>100</v>
      </c>
      <c r="D151" s="117"/>
      <c r="E151" s="117"/>
      <c r="F151" s="117"/>
      <c r="G151" s="166">
        <v>0</v>
      </c>
      <c r="H151" s="166">
        <v>1253.6400000000001</v>
      </c>
      <c r="I151" s="167">
        <v>0</v>
      </c>
      <c r="J151" s="117"/>
      <c r="K151" s="117"/>
      <c r="L151" s="167">
        <v>1253.6400000000001</v>
      </c>
      <c r="M151" s="117"/>
      <c r="N151" s="117"/>
      <c r="O151" s="167">
        <v>-1253.6400000000001</v>
      </c>
      <c r="P151" s="117"/>
      <c r="Q151" s="138"/>
    </row>
    <row r="152" spans="2:18" x14ac:dyDescent="0.2">
      <c r="B152" s="152" t="s">
        <v>269</v>
      </c>
      <c r="C152" s="153" t="s">
        <v>270</v>
      </c>
      <c r="D152" s="117"/>
      <c r="E152" s="117"/>
      <c r="F152" s="117"/>
      <c r="G152" s="154">
        <v>31600</v>
      </c>
      <c r="H152" s="154">
        <v>6169.09</v>
      </c>
      <c r="I152" s="155">
        <v>0</v>
      </c>
      <c r="J152" s="117"/>
      <c r="K152" s="117"/>
      <c r="L152" s="155">
        <v>6169.09</v>
      </c>
      <c r="M152" s="117"/>
      <c r="N152" s="117"/>
      <c r="O152" s="155">
        <v>25430.91</v>
      </c>
      <c r="P152" s="117"/>
      <c r="Q152" s="151">
        <f t="shared" si="2"/>
        <v>19.522436708860759</v>
      </c>
      <c r="R152" s="115" t="s">
        <v>299</v>
      </c>
    </row>
    <row r="153" spans="2:18" x14ac:dyDescent="0.2">
      <c r="B153" s="156" t="s">
        <v>240</v>
      </c>
      <c r="C153" s="157" t="s">
        <v>241</v>
      </c>
      <c r="D153" s="117"/>
      <c r="E153" s="117"/>
      <c r="F153" s="117"/>
      <c r="G153" s="158">
        <v>31600</v>
      </c>
      <c r="H153" s="158">
        <v>6169.09</v>
      </c>
      <c r="I153" s="159">
        <v>0</v>
      </c>
      <c r="J153" s="117"/>
      <c r="K153" s="117"/>
      <c r="L153" s="159">
        <v>6169.09</v>
      </c>
      <c r="M153" s="117"/>
      <c r="N153" s="117"/>
      <c r="O153" s="159">
        <v>25430.91</v>
      </c>
      <c r="P153" s="117"/>
      <c r="Q153" s="138">
        <f t="shared" si="2"/>
        <v>19.522436708860759</v>
      </c>
      <c r="R153" s="115" t="s">
        <v>298</v>
      </c>
    </row>
    <row r="154" spans="2:18" ht="22.5" x14ac:dyDescent="0.2">
      <c r="B154" s="160" t="s">
        <v>242</v>
      </c>
      <c r="C154" s="161" t="s">
        <v>243</v>
      </c>
      <c r="D154" s="117"/>
      <c r="E154" s="117"/>
      <c r="F154" s="117"/>
      <c r="G154" s="162">
        <v>31600</v>
      </c>
      <c r="H154" s="162">
        <v>6169.09</v>
      </c>
      <c r="I154" s="163">
        <v>0</v>
      </c>
      <c r="J154" s="117"/>
      <c r="K154" s="117"/>
      <c r="L154" s="163">
        <v>6169.09</v>
      </c>
      <c r="M154" s="117"/>
      <c r="N154" s="117"/>
      <c r="O154" s="163">
        <v>25430.91</v>
      </c>
      <c r="P154" s="117"/>
      <c r="Q154" s="138">
        <f t="shared" si="2"/>
        <v>19.522436708860759</v>
      </c>
    </row>
    <row r="155" spans="2:18" x14ac:dyDescent="0.2">
      <c r="B155" s="164" t="s">
        <v>201</v>
      </c>
      <c r="C155" s="165" t="s">
        <v>200</v>
      </c>
      <c r="D155" s="117"/>
      <c r="E155" s="117"/>
      <c r="F155" s="117"/>
      <c r="G155" s="166">
        <v>31000</v>
      </c>
      <c r="H155" s="166">
        <v>6009.05</v>
      </c>
      <c r="I155" s="167">
        <v>0</v>
      </c>
      <c r="J155" s="117"/>
      <c r="K155" s="117"/>
      <c r="L155" s="167">
        <v>6009.05</v>
      </c>
      <c r="M155" s="117"/>
      <c r="N155" s="117"/>
      <c r="O155" s="167">
        <v>24990.95</v>
      </c>
      <c r="P155" s="117"/>
      <c r="Q155" s="138">
        <f t="shared" si="2"/>
        <v>19.384032258064519</v>
      </c>
    </row>
    <row r="156" spans="2:18" x14ac:dyDescent="0.2">
      <c r="B156" s="164" t="s">
        <v>197</v>
      </c>
      <c r="C156" s="165" t="s">
        <v>196</v>
      </c>
      <c r="D156" s="117"/>
      <c r="E156" s="117"/>
      <c r="F156" s="117"/>
      <c r="G156" s="166">
        <v>26000</v>
      </c>
      <c r="H156" s="166">
        <v>5157.97</v>
      </c>
      <c r="I156" s="167">
        <v>0</v>
      </c>
      <c r="J156" s="117"/>
      <c r="K156" s="117"/>
      <c r="L156" s="167">
        <v>5157.97</v>
      </c>
      <c r="M156" s="117"/>
      <c r="N156" s="117"/>
      <c r="O156" s="167">
        <v>20842.03</v>
      </c>
      <c r="P156" s="117"/>
      <c r="Q156" s="138">
        <f t="shared" si="2"/>
        <v>19.838346153846153</v>
      </c>
    </row>
    <row r="157" spans="2:18" x14ac:dyDescent="0.2">
      <c r="B157" s="164" t="s">
        <v>186</v>
      </c>
      <c r="C157" s="165" t="s">
        <v>185</v>
      </c>
      <c r="D157" s="117"/>
      <c r="E157" s="117"/>
      <c r="F157" s="117"/>
      <c r="G157" s="166">
        <v>5000</v>
      </c>
      <c r="H157" s="166">
        <v>851.08</v>
      </c>
      <c r="I157" s="167">
        <v>0</v>
      </c>
      <c r="J157" s="117"/>
      <c r="K157" s="117"/>
      <c r="L157" s="167">
        <v>851.08</v>
      </c>
      <c r="M157" s="117"/>
      <c r="N157" s="117"/>
      <c r="O157" s="167">
        <v>4148.92</v>
      </c>
      <c r="P157" s="117"/>
      <c r="Q157" s="138">
        <f t="shared" si="2"/>
        <v>17.021599999999999</v>
      </c>
    </row>
    <row r="158" spans="2:18" x14ac:dyDescent="0.2">
      <c r="B158" s="164" t="s">
        <v>183</v>
      </c>
      <c r="C158" s="165" t="s">
        <v>182</v>
      </c>
      <c r="D158" s="117"/>
      <c r="E158" s="117"/>
      <c r="F158" s="117"/>
      <c r="G158" s="166">
        <v>600</v>
      </c>
      <c r="H158" s="166">
        <v>160.04</v>
      </c>
      <c r="I158" s="167">
        <v>0</v>
      </c>
      <c r="J158" s="117"/>
      <c r="K158" s="117"/>
      <c r="L158" s="167">
        <v>160.04</v>
      </c>
      <c r="M158" s="117"/>
      <c r="N158" s="117"/>
      <c r="O158" s="167">
        <v>439.96</v>
      </c>
      <c r="P158" s="117"/>
      <c r="Q158" s="138">
        <f t="shared" si="2"/>
        <v>26.673333333333332</v>
      </c>
    </row>
    <row r="159" spans="2:18" x14ac:dyDescent="0.2">
      <c r="B159" s="164" t="s">
        <v>177</v>
      </c>
      <c r="C159" s="165" t="s">
        <v>176</v>
      </c>
      <c r="D159" s="117"/>
      <c r="E159" s="117"/>
      <c r="F159" s="117"/>
      <c r="G159" s="166">
        <v>600</v>
      </c>
      <c r="H159" s="166">
        <v>160.04</v>
      </c>
      <c r="I159" s="167">
        <v>0</v>
      </c>
      <c r="J159" s="117"/>
      <c r="K159" s="117"/>
      <c r="L159" s="167">
        <v>160.04</v>
      </c>
      <c r="M159" s="117"/>
      <c r="N159" s="117"/>
      <c r="O159" s="167">
        <v>439.96</v>
      </c>
      <c r="P159" s="117"/>
      <c r="Q159" s="138">
        <f t="shared" si="2"/>
        <v>26.673333333333332</v>
      </c>
    </row>
    <row r="160" spans="2:18" x14ac:dyDescent="0.2">
      <c r="B160" s="152" t="s">
        <v>271</v>
      </c>
      <c r="C160" s="153" t="s">
        <v>272</v>
      </c>
      <c r="D160" s="117"/>
      <c r="E160" s="117"/>
      <c r="F160" s="117"/>
      <c r="G160" s="154">
        <v>7000</v>
      </c>
      <c r="H160" s="154">
        <v>959.8</v>
      </c>
      <c r="I160" s="155">
        <v>0</v>
      </c>
      <c r="J160" s="117"/>
      <c r="K160" s="117"/>
      <c r="L160" s="155">
        <v>959.8</v>
      </c>
      <c r="M160" s="117"/>
      <c r="N160" s="117"/>
      <c r="O160" s="155">
        <v>6040.2</v>
      </c>
      <c r="P160" s="117"/>
      <c r="Q160" s="151">
        <f t="shared" si="2"/>
        <v>13.711428571428572</v>
      </c>
      <c r="R160" s="115" t="s">
        <v>297</v>
      </c>
    </row>
    <row r="161" spans="2:18" x14ac:dyDescent="0.2">
      <c r="B161" s="156" t="s">
        <v>240</v>
      </c>
      <c r="C161" s="157" t="s">
        <v>241</v>
      </c>
      <c r="D161" s="117"/>
      <c r="E161" s="117"/>
      <c r="F161" s="117"/>
      <c r="G161" s="158">
        <v>7000</v>
      </c>
      <c r="H161" s="158">
        <v>959.8</v>
      </c>
      <c r="I161" s="159">
        <v>0</v>
      </c>
      <c r="J161" s="117"/>
      <c r="K161" s="117"/>
      <c r="L161" s="159">
        <v>959.8</v>
      </c>
      <c r="M161" s="117"/>
      <c r="N161" s="117"/>
      <c r="O161" s="159">
        <v>6040.2</v>
      </c>
      <c r="P161" s="117"/>
      <c r="Q161" s="138">
        <f t="shared" si="2"/>
        <v>13.711428571428572</v>
      </c>
      <c r="R161" s="115" t="s">
        <v>296</v>
      </c>
    </row>
    <row r="162" spans="2:18" ht="22.5" x14ac:dyDescent="0.2">
      <c r="B162" s="160" t="s">
        <v>242</v>
      </c>
      <c r="C162" s="161" t="s">
        <v>243</v>
      </c>
      <c r="D162" s="117"/>
      <c r="E162" s="117"/>
      <c r="F162" s="117"/>
      <c r="G162" s="162">
        <v>1000</v>
      </c>
      <c r="H162" s="162">
        <v>86.8</v>
      </c>
      <c r="I162" s="163">
        <v>0</v>
      </c>
      <c r="J162" s="117"/>
      <c r="K162" s="117"/>
      <c r="L162" s="163">
        <v>86.8</v>
      </c>
      <c r="M162" s="117"/>
      <c r="N162" s="117"/>
      <c r="O162" s="163">
        <v>913.2</v>
      </c>
      <c r="P162" s="117"/>
      <c r="Q162" s="138">
        <f t="shared" si="2"/>
        <v>8.68</v>
      </c>
    </row>
    <row r="163" spans="2:18" x14ac:dyDescent="0.2">
      <c r="B163" s="164" t="s">
        <v>183</v>
      </c>
      <c r="C163" s="165" t="s">
        <v>182</v>
      </c>
      <c r="D163" s="117"/>
      <c r="E163" s="117"/>
      <c r="F163" s="117"/>
      <c r="G163" s="166">
        <v>1000</v>
      </c>
      <c r="H163" s="166">
        <v>86.8</v>
      </c>
      <c r="I163" s="167">
        <v>0</v>
      </c>
      <c r="J163" s="117"/>
      <c r="K163" s="117"/>
      <c r="L163" s="167">
        <v>86.8</v>
      </c>
      <c r="M163" s="117"/>
      <c r="N163" s="117"/>
      <c r="O163" s="167">
        <v>913.2</v>
      </c>
      <c r="P163" s="117"/>
      <c r="Q163" s="138">
        <f t="shared" si="2"/>
        <v>8.68</v>
      </c>
    </row>
    <row r="164" spans="2:18" x14ac:dyDescent="0.2">
      <c r="B164" s="164" t="s">
        <v>179</v>
      </c>
      <c r="C164" s="165" t="s">
        <v>178</v>
      </c>
      <c r="D164" s="117"/>
      <c r="E164" s="117"/>
      <c r="F164" s="117"/>
      <c r="G164" s="166">
        <v>0</v>
      </c>
      <c r="H164" s="166">
        <v>0</v>
      </c>
      <c r="I164" s="167">
        <v>0</v>
      </c>
      <c r="J164" s="117"/>
      <c r="K164" s="117"/>
      <c r="L164" s="167">
        <v>0</v>
      </c>
      <c r="M164" s="117"/>
      <c r="N164" s="117"/>
      <c r="O164" s="167">
        <v>0</v>
      </c>
      <c r="P164" s="117"/>
      <c r="Q164" s="138"/>
    </row>
    <row r="165" spans="2:18" x14ac:dyDescent="0.2">
      <c r="B165" s="164" t="s">
        <v>169</v>
      </c>
      <c r="C165" s="165" t="s">
        <v>168</v>
      </c>
      <c r="D165" s="117"/>
      <c r="E165" s="117"/>
      <c r="F165" s="117"/>
      <c r="G165" s="166">
        <v>0</v>
      </c>
      <c r="H165" s="166">
        <v>0</v>
      </c>
      <c r="I165" s="167">
        <v>0</v>
      </c>
      <c r="J165" s="117"/>
      <c r="K165" s="117"/>
      <c r="L165" s="167">
        <v>0</v>
      </c>
      <c r="M165" s="117"/>
      <c r="N165" s="117"/>
      <c r="O165" s="167">
        <v>0</v>
      </c>
      <c r="P165" s="117"/>
      <c r="Q165" s="138"/>
    </row>
    <row r="166" spans="2:18" x14ac:dyDescent="0.2">
      <c r="B166" s="164" t="s">
        <v>147</v>
      </c>
      <c r="C166" s="165" t="s">
        <v>146</v>
      </c>
      <c r="D166" s="117"/>
      <c r="E166" s="117"/>
      <c r="F166" s="117"/>
      <c r="G166" s="166">
        <v>0</v>
      </c>
      <c r="H166" s="166">
        <v>0</v>
      </c>
      <c r="I166" s="167">
        <v>0</v>
      </c>
      <c r="J166" s="117"/>
      <c r="K166" s="117"/>
      <c r="L166" s="167">
        <v>0</v>
      </c>
      <c r="M166" s="117"/>
      <c r="N166" s="117"/>
      <c r="O166" s="167">
        <v>0</v>
      </c>
      <c r="P166" s="117"/>
      <c r="Q166" s="138"/>
    </row>
    <row r="167" spans="2:18" x14ac:dyDescent="0.2">
      <c r="B167" s="164" t="s">
        <v>143</v>
      </c>
      <c r="C167" s="165" t="s">
        <v>142</v>
      </c>
      <c r="D167" s="117"/>
      <c r="E167" s="117"/>
      <c r="F167" s="117"/>
      <c r="G167" s="166">
        <v>0</v>
      </c>
      <c r="H167" s="166">
        <v>0</v>
      </c>
      <c r="I167" s="167">
        <v>0</v>
      </c>
      <c r="J167" s="117"/>
      <c r="K167" s="117"/>
      <c r="L167" s="167">
        <v>0</v>
      </c>
      <c r="M167" s="117"/>
      <c r="N167" s="117"/>
      <c r="O167" s="167">
        <v>0</v>
      </c>
      <c r="P167" s="117"/>
      <c r="Q167" s="138"/>
    </row>
    <row r="168" spans="2:18" x14ac:dyDescent="0.2">
      <c r="B168" s="164" t="s">
        <v>141</v>
      </c>
      <c r="C168" s="165" t="s">
        <v>140</v>
      </c>
      <c r="D168" s="117"/>
      <c r="E168" s="117"/>
      <c r="F168" s="117"/>
      <c r="G168" s="166">
        <v>0</v>
      </c>
      <c r="H168" s="166">
        <v>0</v>
      </c>
      <c r="I168" s="167">
        <v>0</v>
      </c>
      <c r="J168" s="117"/>
      <c r="K168" s="117"/>
      <c r="L168" s="167">
        <v>0</v>
      </c>
      <c r="M168" s="117"/>
      <c r="N168" s="117"/>
      <c r="O168" s="167">
        <v>0</v>
      </c>
      <c r="P168" s="117"/>
      <c r="Q168" s="138"/>
    </row>
    <row r="169" spans="2:18" x14ac:dyDescent="0.2">
      <c r="B169" s="164" t="s">
        <v>132</v>
      </c>
      <c r="C169" s="165" t="s">
        <v>131</v>
      </c>
      <c r="D169" s="117"/>
      <c r="E169" s="117"/>
      <c r="F169" s="117"/>
      <c r="G169" s="166">
        <v>0</v>
      </c>
      <c r="H169" s="166">
        <v>86.8</v>
      </c>
      <c r="I169" s="167">
        <v>0</v>
      </c>
      <c r="J169" s="117"/>
      <c r="K169" s="117"/>
      <c r="L169" s="167">
        <v>86.8</v>
      </c>
      <c r="M169" s="117"/>
      <c r="N169" s="117"/>
      <c r="O169" s="167">
        <v>-86.8</v>
      </c>
      <c r="P169" s="117"/>
      <c r="Q169" s="138"/>
    </row>
    <row r="170" spans="2:18" x14ac:dyDescent="0.2">
      <c r="B170" s="164" t="s">
        <v>124</v>
      </c>
      <c r="C170" s="165" t="s">
        <v>123</v>
      </c>
      <c r="D170" s="117"/>
      <c r="E170" s="117"/>
      <c r="F170" s="117"/>
      <c r="G170" s="166">
        <v>1000</v>
      </c>
      <c r="H170" s="166">
        <v>0</v>
      </c>
      <c r="I170" s="167">
        <v>0</v>
      </c>
      <c r="J170" s="117"/>
      <c r="K170" s="117"/>
      <c r="L170" s="167">
        <v>0</v>
      </c>
      <c r="M170" s="117"/>
      <c r="N170" s="117"/>
      <c r="O170" s="167">
        <v>1000</v>
      </c>
      <c r="P170" s="117"/>
      <c r="Q170" s="138">
        <f t="shared" si="2"/>
        <v>0</v>
      </c>
    </row>
    <row r="171" spans="2:18" ht="22.5" x14ac:dyDescent="0.2">
      <c r="B171" s="160" t="s">
        <v>250</v>
      </c>
      <c r="C171" s="161" t="s">
        <v>251</v>
      </c>
      <c r="D171" s="117"/>
      <c r="E171" s="117"/>
      <c r="F171" s="117"/>
      <c r="G171" s="162">
        <v>6000</v>
      </c>
      <c r="H171" s="162">
        <v>873</v>
      </c>
      <c r="I171" s="163">
        <v>0</v>
      </c>
      <c r="J171" s="117"/>
      <c r="K171" s="117"/>
      <c r="L171" s="163">
        <v>873</v>
      </c>
      <c r="M171" s="117"/>
      <c r="N171" s="117"/>
      <c r="O171" s="163">
        <v>5127</v>
      </c>
      <c r="P171" s="117"/>
      <c r="Q171" s="138">
        <f t="shared" si="2"/>
        <v>14.549999999999999</v>
      </c>
    </row>
    <row r="172" spans="2:18" x14ac:dyDescent="0.2">
      <c r="B172" s="164" t="s">
        <v>93</v>
      </c>
      <c r="C172" s="165" t="s">
        <v>92</v>
      </c>
      <c r="D172" s="117"/>
      <c r="E172" s="117"/>
      <c r="F172" s="117"/>
      <c r="G172" s="166">
        <v>6000</v>
      </c>
      <c r="H172" s="166">
        <v>873</v>
      </c>
      <c r="I172" s="167">
        <v>0</v>
      </c>
      <c r="J172" s="117"/>
      <c r="K172" s="117"/>
      <c r="L172" s="167">
        <v>873</v>
      </c>
      <c r="M172" s="117"/>
      <c r="N172" s="117"/>
      <c r="O172" s="167">
        <v>5127</v>
      </c>
      <c r="P172" s="117"/>
      <c r="Q172" s="138">
        <f t="shared" si="2"/>
        <v>14.549999999999999</v>
      </c>
    </row>
    <row r="173" spans="2:18" x14ac:dyDescent="0.2">
      <c r="B173" s="164" t="s">
        <v>85</v>
      </c>
      <c r="C173" s="165" t="s">
        <v>84</v>
      </c>
      <c r="D173" s="117"/>
      <c r="E173" s="117"/>
      <c r="F173" s="117"/>
      <c r="G173" s="166">
        <v>6000</v>
      </c>
      <c r="H173" s="166">
        <v>873</v>
      </c>
      <c r="I173" s="167">
        <v>0</v>
      </c>
      <c r="J173" s="117"/>
      <c r="K173" s="117"/>
      <c r="L173" s="167">
        <v>873</v>
      </c>
      <c r="M173" s="117"/>
      <c r="N173" s="117"/>
      <c r="O173" s="167">
        <v>5127</v>
      </c>
      <c r="P173" s="117"/>
      <c r="Q173" s="138">
        <f t="shared" si="2"/>
        <v>14.549999999999999</v>
      </c>
    </row>
    <row r="174" spans="2:18" x14ac:dyDescent="0.2">
      <c r="B174" s="147" t="s">
        <v>273</v>
      </c>
      <c r="C174" s="148" t="s">
        <v>274</v>
      </c>
      <c r="D174" s="117"/>
      <c r="E174" s="117"/>
      <c r="F174" s="117"/>
      <c r="G174" s="149">
        <v>16700</v>
      </c>
      <c r="H174" s="149">
        <v>4137.16</v>
      </c>
      <c r="I174" s="150">
        <v>0</v>
      </c>
      <c r="J174" s="117"/>
      <c r="K174" s="117"/>
      <c r="L174" s="150">
        <v>4137.16</v>
      </c>
      <c r="M174" s="117"/>
      <c r="N174" s="117"/>
      <c r="O174" s="150">
        <v>12562.84</v>
      </c>
      <c r="P174" s="117"/>
      <c r="Q174" s="151">
        <f t="shared" si="2"/>
        <v>24.773413173652695</v>
      </c>
      <c r="R174" s="115" t="s">
        <v>295</v>
      </c>
    </row>
    <row r="175" spans="2:18" x14ac:dyDescent="0.2">
      <c r="B175" s="152" t="s">
        <v>275</v>
      </c>
      <c r="C175" s="153" t="s">
        <v>274</v>
      </c>
      <c r="D175" s="117"/>
      <c r="E175" s="117"/>
      <c r="F175" s="117"/>
      <c r="G175" s="154">
        <v>16700</v>
      </c>
      <c r="H175" s="154">
        <v>4137.16</v>
      </c>
      <c r="I175" s="155">
        <v>0</v>
      </c>
      <c r="J175" s="117"/>
      <c r="K175" s="117"/>
      <c r="L175" s="155">
        <v>4137.16</v>
      </c>
      <c r="M175" s="117"/>
      <c r="N175" s="117"/>
      <c r="O175" s="155">
        <v>12562.84</v>
      </c>
      <c r="P175" s="117"/>
      <c r="Q175" s="151">
        <f t="shared" si="2"/>
        <v>24.773413173652695</v>
      </c>
      <c r="R175" s="115" t="s">
        <v>294</v>
      </c>
    </row>
    <row r="176" spans="2:18" x14ac:dyDescent="0.2">
      <c r="B176" s="156" t="s">
        <v>240</v>
      </c>
      <c r="C176" s="157" t="s">
        <v>241</v>
      </c>
      <c r="D176" s="117"/>
      <c r="E176" s="117"/>
      <c r="F176" s="117"/>
      <c r="G176" s="158">
        <v>16700</v>
      </c>
      <c r="H176" s="158">
        <v>4137.16</v>
      </c>
      <c r="I176" s="159">
        <v>0</v>
      </c>
      <c r="J176" s="117"/>
      <c r="K176" s="117"/>
      <c r="L176" s="159">
        <v>4137.16</v>
      </c>
      <c r="M176" s="117"/>
      <c r="N176" s="117"/>
      <c r="O176" s="159">
        <v>12562.84</v>
      </c>
      <c r="P176" s="117"/>
      <c r="Q176" s="138">
        <f t="shared" si="2"/>
        <v>24.773413173652695</v>
      </c>
      <c r="R176" s="115" t="s">
        <v>293</v>
      </c>
    </row>
    <row r="177" spans="2:17" ht="22.5" x14ac:dyDescent="0.2">
      <c r="B177" s="160" t="s">
        <v>242</v>
      </c>
      <c r="C177" s="161" t="s">
        <v>243</v>
      </c>
      <c r="D177" s="117"/>
      <c r="E177" s="117"/>
      <c r="F177" s="117"/>
      <c r="G177" s="162">
        <v>0</v>
      </c>
      <c r="H177" s="162">
        <v>4137.16</v>
      </c>
      <c r="I177" s="163">
        <v>0</v>
      </c>
      <c r="J177" s="117"/>
      <c r="K177" s="117"/>
      <c r="L177" s="163">
        <v>4137.16</v>
      </c>
      <c r="M177" s="117"/>
      <c r="N177" s="117"/>
      <c r="O177" s="163">
        <v>-4137.16</v>
      </c>
      <c r="P177" s="117"/>
      <c r="Q177" s="138"/>
    </row>
    <row r="178" spans="2:17" x14ac:dyDescent="0.2">
      <c r="B178" s="164" t="s">
        <v>183</v>
      </c>
      <c r="C178" s="165" t="s">
        <v>182</v>
      </c>
      <c r="D178" s="117"/>
      <c r="E178" s="117"/>
      <c r="F178" s="117"/>
      <c r="G178" s="166">
        <v>0</v>
      </c>
      <c r="H178" s="166">
        <v>4137.16</v>
      </c>
      <c r="I178" s="167">
        <v>0</v>
      </c>
      <c r="J178" s="117"/>
      <c r="K178" s="117"/>
      <c r="L178" s="167">
        <v>4137.16</v>
      </c>
      <c r="M178" s="117"/>
      <c r="N178" s="117"/>
      <c r="O178" s="167">
        <v>-4137.16</v>
      </c>
      <c r="P178" s="117"/>
      <c r="Q178" s="138"/>
    </row>
    <row r="179" spans="2:17" x14ac:dyDescent="0.2">
      <c r="B179" s="164" t="s">
        <v>179</v>
      </c>
      <c r="C179" s="165" t="s">
        <v>178</v>
      </c>
      <c r="D179" s="117"/>
      <c r="E179" s="117"/>
      <c r="F179" s="117"/>
      <c r="G179" s="166">
        <v>0</v>
      </c>
      <c r="H179" s="166">
        <v>1635.32</v>
      </c>
      <c r="I179" s="167">
        <v>0</v>
      </c>
      <c r="J179" s="117"/>
      <c r="K179" s="117"/>
      <c r="L179" s="167">
        <v>1635.32</v>
      </c>
      <c r="M179" s="117"/>
      <c r="N179" s="117"/>
      <c r="O179" s="167">
        <v>-1635.32</v>
      </c>
      <c r="P179" s="117"/>
      <c r="Q179" s="138"/>
    </row>
    <row r="180" spans="2:17" x14ac:dyDescent="0.2">
      <c r="B180" s="164" t="s">
        <v>169</v>
      </c>
      <c r="C180" s="165" t="s">
        <v>168</v>
      </c>
      <c r="D180" s="117"/>
      <c r="E180" s="117"/>
      <c r="F180" s="117"/>
      <c r="G180" s="166">
        <v>0</v>
      </c>
      <c r="H180" s="166">
        <v>80.290000000000006</v>
      </c>
      <c r="I180" s="167">
        <v>0</v>
      </c>
      <c r="J180" s="117"/>
      <c r="K180" s="117"/>
      <c r="L180" s="167">
        <v>80.290000000000006</v>
      </c>
      <c r="M180" s="117"/>
      <c r="N180" s="117"/>
      <c r="O180" s="167">
        <v>-80.290000000000006</v>
      </c>
      <c r="P180" s="117"/>
      <c r="Q180" s="138"/>
    </row>
    <row r="181" spans="2:17" x14ac:dyDescent="0.2">
      <c r="B181" s="164" t="s">
        <v>134</v>
      </c>
      <c r="C181" s="165" t="s">
        <v>133</v>
      </c>
      <c r="D181" s="117"/>
      <c r="E181" s="117"/>
      <c r="F181" s="117"/>
      <c r="G181" s="166">
        <v>0</v>
      </c>
      <c r="H181" s="166">
        <v>71.2</v>
      </c>
      <c r="I181" s="167">
        <v>0</v>
      </c>
      <c r="J181" s="117"/>
      <c r="K181" s="117"/>
      <c r="L181" s="167">
        <v>71.2</v>
      </c>
      <c r="M181" s="117"/>
      <c r="N181" s="117"/>
      <c r="O181" s="167">
        <v>-71.2</v>
      </c>
      <c r="P181" s="117"/>
      <c r="Q181" s="138"/>
    </row>
    <row r="182" spans="2:17" x14ac:dyDescent="0.2">
      <c r="B182" s="164" t="s">
        <v>124</v>
      </c>
      <c r="C182" s="165" t="s">
        <v>123</v>
      </c>
      <c r="D182" s="117"/>
      <c r="E182" s="117"/>
      <c r="F182" s="117"/>
      <c r="G182" s="166">
        <v>0</v>
      </c>
      <c r="H182" s="166">
        <v>2350.35</v>
      </c>
      <c r="I182" s="167">
        <v>0</v>
      </c>
      <c r="J182" s="117"/>
      <c r="K182" s="117"/>
      <c r="L182" s="167">
        <v>2350.35</v>
      </c>
      <c r="M182" s="117"/>
      <c r="N182" s="117"/>
      <c r="O182" s="167">
        <v>-2350.35</v>
      </c>
      <c r="P182" s="117"/>
      <c r="Q182" s="138"/>
    </row>
    <row r="183" spans="2:17" ht="22.5" x14ac:dyDescent="0.2">
      <c r="B183" s="160" t="s">
        <v>250</v>
      </c>
      <c r="C183" s="161" t="s">
        <v>251</v>
      </c>
      <c r="D183" s="117"/>
      <c r="E183" s="117"/>
      <c r="F183" s="117"/>
      <c r="G183" s="162">
        <v>16700</v>
      </c>
      <c r="H183" s="162">
        <v>0</v>
      </c>
      <c r="I183" s="163">
        <v>0</v>
      </c>
      <c r="J183" s="117"/>
      <c r="K183" s="117"/>
      <c r="L183" s="163">
        <v>0</v>
      </c>
      <c r="M183" s="117"/>
      <c r="N183" s="117"/>
      <c r="O183" s="163">
        <v>16700</v>
      </c>
      <c r="P183" s="117"/>
      <c r="Q183" s="138">
        <f t="shared" si="2"/>
        <v>0</v>
      </c>
    </row>
    <row r="184" spans="2:17" x14ac:dyDescent="0.2">
      <c r="B184" s="164" t="s">
        <v>93</v>
      </c>
      <c r="C184" s="165" t="s">
        <v>92</v>
      </c>
      <c r="D184" s="117"/>
      <c r="E184" s="117"/>
      <c r="F184" s="117"/>
      <c r="G184" s="166">
        <v>16700</v>
      </c>
      <c r="H184" s="166">
        <v>0</v>
      </c>
      <c r="I184" s="167">
        <v>0</v>
      </c>
      <c r="J184" s="117"/>
      <c r="K184" s="117"/>
      <c r="L184" s="167">
        <v>0</v>
      </c>
      <c r="M184" s="117"/>
      <c r="N184" s="117"/>
      <c r="O184" s="167">
        <v>16700</v>
      </c>
      <c r="P184" s="117"/>
      <c r="Q184" s="138">
        <f t="shared" si="2"/>
        <v>0</v>
      </c>
    </row>
    <row r="185" spans="2:17" x14ac:dyDescent="0.2">
      <c r="B185" s="164" t="s">
        <v>85</v>
      </c>
      <c r="C185" s="165" t="s">
        <v>84</v>
      </c>
      <c r="D185" s="117"/>
      <c r="E185" s="117"/>
      <c r="F185" s="117"/>
      <c r="G185" s="166">
        <v>700</v>
      </c>
      <c r="H185" s="166">
        <v>0</v>
      </c>
      <c r="I185" s="167">
        <v>0</v>
      </c>
      <c r="J185" s="117"/>
      <c r="K185" s="117"/>
      <c r="L185" s="167">
        <v>0</v>
      </c>
      <c r="M185" s="117"/>
      <c r="N185" s="117"/>
      <c r="O185" s="167">
        <v>700</v>
      </c>
      <c r="P185" s="117"/>
      <c r="Q185" s="138">
        <f t="shared" si="2"/>
        <v>0</v>
      </c>
    </row>
    <row r="186" spans="2:17" x14ac:dyDescent="0.2">
      <c r="B186" s="164" t="s">
        <v>83</v>
      </c>
      <c r="C186" s="165" t="s">
        <v>82</v>
      </c>
      <c r="D186" s="117"/>
      <c r="E186" s="117"/>
      <c r="F186" s="117"/>
      <c r="G186" s="166">
        <v>15000</v>
      </c>
      <c r="H186" s="166">
        <v>0</v>
      </c>
      <c r="I186" s="167">
        <v>0</v>
      </c>
      <c r="J186" s="117"/>
      <c r="K186" s="117"/>
      <c r="L186" s="167">
        <v>0</v>
      </c>
      <c r="M186" s="117"/>
      <c r="N186" s="117"/>
      <c r="O186" s="167">
        <v>15000</v>
      </c>
      <c r="P186" s="117"/>
      <c r="Q186" s="138">
        <f t="shared" si="2"/>
        <v>0</v>
      </c>
    </row>
    <row r="187" spans="2:17" x14ac:dyDescent="0.2">
      <c r="B187" s="164" t="s">
        <v>81</v>
      </c>
      <c r="C187" s="165" t="s">
        <v>80</v>
      </c>
      <c r="D187" s="117"/>
      <c r="E187" s="117"/>
      <c r="F187" s="117"/>
      <c r="G187" s="166">
        <v>1000</v>
      </c>
      <c r="H187" s="166">
        <v>0</v>
      </c>
      <c r="I187" s="167">
        <v>0</v>
      </c>
      <c r="J187" s="117"/>
      <c r="K187" s="117"/>
      <c r="L187" s="167">
        <v>0</v>
      </c>
      <c r="M187" s="117"/>
      <c r="N187" s="117"/>
      <c r="O187" s="167">
        <v>1000</v>
      </c>
      <c r="P187" s="117"/>
      <c r="Q187" s="138">
        <f t="shared" si="2"/>
        <v>0</v>
      </c>
    </row>
    <row r="188" spans="2:17" x14ac:dyDescent="0.2">
      <c r="B188" s="164" t="s">
        <v>79</v>
      </c>
      <c r="C188" s="165" t="s">
        <v>78</v>
      </c>
      <c r="D188" s="117"/>
      <c r="E188" s="117"/>
      <c r="F188" s="117"/>
      <c r="G188" s="166">
        <v>0</v>
      </c>
      <c r="H188" s="166">
        <v>0</v>
      </c>
      <c r="I188" s="167">
        <v>0</v>
      </c>
      <c r="J188" s="117"/>
      <c r="K188" s="117"/>
      <c r="L188" s="167">
        <v>0</v>
      </c>
      <c r="M188" s="117"/>
      <c r="N188" s="117"/>
      <c r="O188" s="167">
        <v>0</v>
      </c>
      <c r="P188" s="117"/>
      <c r="Q188" s="138"/>
    </row>
  </sheetData>
  <mergeCells count="722">
    <mergeCell ref="C188:F188"/>
    <mergeCell ref="I188:K188"/>
    <mergeCell ref="L188:N188"/>
    <mergeCell ref="O188:P188"/>
    <mergeCell ref="C186:F186"/>
    <mergeCell ref="I186:K186"/>
    <mergeCell ref="L186:N186"/>
    <mergeCell ref="O186:P186"/>
    <mergeCell ref="C187:F187"/>
    <mergeCell ref="I187:K187"/>
    <mergeCell ref="L187:N187"/>
    <mergeCell ref="O187:P187"/>
    <mergeCell ref="C184:F184"/>
    <mergeCell ref="I184:K184"/>
    <mergeCell ref="L184:N184"/>
    <mergeCell ref="O184:P184"/>
    <mergeCell ref="C185:F185"/>
    <mergeCell ref="I185:K185"/>
    <mergeCell ref="L185:N185"/>
    <mergeCell ref="O185:P185"/>
    <mergeCell ref="C182:F182"/>
    <mergeCell ref="I182:K182"/>
    <mergeCell ref="L182:N182"/>
    <mergeCell ref="O182:P182"/>
    <mergeCell ref="C183:F183"/>
    <mergeCell ref="I183:K183"/>
    <mergeCell ref="L183:N183"/>
    <mergeCell ref="O183:P183"/>
    <mergeCell ref="C180:F180"/>
    <mergeCell ref="I180:K180"/>
    <mergeCell ref="L180:N180"/>
    <mergeCell ref="O180:P180"/>
    <mergeCell ref="C181:F181"/>
    <mergeCell ref="I181:K181"/>
    <mergeCell ref="L181:N181"/>
    <mergeCell ref="O181:P181"/>
    <mergeCell ref="C178:F178"/>
    <mergeCell ref="I178:K178"/>
    <mergeCell ref="L178:N178"/>
    <mergeCell ref="O178:P178"/>
    <mergeCell ref="C179:F179"/>
    <mergeCell ref="I179:K179"/>
    <mergeCell ref="L179:N179"/>
    <mergeCell ref="O179:P179"/>
    <mergeCell ref="C176:F176"/>
    <mergeCell ref="I176:K176"/>
    <mergeCell ref="L176:N176"/>
    <mergeCell ref="O176:P176"/>
    <mergeCell ref="C177:F177"/>
    <mergeCell ref="I177:K177"/>
    <mergeCell ref="L177:N177"/>
    <mergeCell ref="O177:P177"/>
    <mergeCell ref="C174:F174"/>
    <mergeCell ref="I174:K174"/>
    <mergeCell ref="L174:N174"/>
    <mergeCell ref="O174:P174"/>
    <mergeCell ref="C175:F175"/>
    <mergeCell ref="I175:K175"/>
    <mergeCell ref="L175:N175"/>
    <mergeCell ref="O175:P175"/>
    <mergeCell ref="C172:F172"/>
    <mergeCell ref="I172:K172"/>
    <mergeCell ref="L172:N172"/>
    <mergeCell ref="O172:P172"/>
    <mergeCell ref="C173:F173"/>
    <mergeCell ref="I173:K173"/>
    <mergeCell ref="L173:N173"/>
    <mergeCell ref="O173:P173"/>
    <mergeCell ref="C170:F170"/>
    <mergeCell ref="I170:K170"/>
    <mergeCell ref="L170:N170"/>
    <mergeCell ref="O170:P170"/>
    <mergeCell ref="C171:F171"/>
    <mergeCell ref="I171:K171"/>
    <mergeCell ref="L171:N171"/>
    <mergeCell ref="O171:P171"/>
    <mergeCell ref="C168:F168"/>
    <mergeCell ref="I168:K168"/>
    <mergeCell ref="L168:N168"/>
    <mergeCell ref="O168:P168"/>
    <mergeCell ref="C169:F169"/>
    <mergeCell ref="I169:K169"/>
    <mergeCell ref="L169:N169"/>
    <mergeCell ref="O169:P169"/>
    <mergeCell ref="C166:F166"/>
    <mergeCell ref="I166:K166"/>
    <mergeCell ref="L166:N166"/>
    <mergeCell ref="O166:P166"/>
    <mergeCell ref="C167:F167"/>
    <mergeCell ref="I167:K167"/>
    <mergeCell ref="L167:N167"/>
    <mergeCell ref="O167:P167"/>
    <mergeCell ref="C164:F164"/>
    <mergeCell ref="I164:K164"/>
    <mergeCell ref="L164:N164"/>
    <mergeCell ref="O164:P164"/>
    <mergeCell ref="C165:F165"/>
    <mergeCell ref="I165:K165"/>
    <mergeCell ref="L165:N165"/>
    <mergeCell ref="O165:P165"/>
    <mergeCell ref="C162:F162"/>
    <mergeCell ref="I162:K162"/>
    <mergeCell ref="L162:N162"/>
    <mergeCell ref="O162:P162"/>
    <mergeCell ref="C163:F163"/>
    <mergeCell ref="I163:K163"/>
    <mergeCell ref="L163:N163"/>
    <mergeCell ref="O163:P163"/>
    <mergeCell ref="C160:F160"/>
    <mergeCell ref="I160:K160"/>
    <mergeCell ref="L160:N160"/>
    <mergeCell ref="O160:P160"/>
    <mergeCell ref="C161:F161"/>
    <mergeCell ref="I161:K161"/>
    <mergeCell ref="L161:N161"/>
    <mergeCell ref="O161:P161"/>
    <mergeCell ref="C158:F158"/>
    <mergeCell ref="I158:K158"/>
    <mergeCell ref="L158:N158"/>
    <mergeCell ref="O158:P158"/>
    <mergeCell ref="C159:F159"/>
    <mergeCell ref="I159:K159"/>
    <mergeCell ref="L159:N159"/>
    <mergeCell ref="O159:P159"/>
    <mergeCell ref="C156:F156"/>
    <mergeCell ref="I156:K156"/>
    <mergeCell ref="L156:N156"/>
    <mergeCell ref="O156:P156"/>
    <mergeCell ref="C157:F157"/>
    <mergeCell ref="I157:K157"/>
    <mergeCell ref="L157:N157"/>
    <mergeCell ref="O157:P157"/>
    <mergeCell ref="C154:F154"/>
    <mergeCell ref="I154:K154"/>
    <mergeCell ref="L154:N154"/>
    <mergeCell ref="O154:P154"/>
    <mergeCell ref="C155:F155"/>
    <mergeCell ref="I155:K155"/>
    <mergeCell ref="L155:N155"/>
    <mergeCell ref="O155:P155"/>
    <mergeCell ref="C152:F152"/>
    <mergeCell ref="I152:K152"/>
    <mergeCell ref="L152:N152"/>
    <mergeCell ref="O152:P152"/>
    <mergeCell ref="C153:F153"/>
    <mergeCell ref="I153:K153"/>
    <mergeCell ref="L153:N153"/>
    <mergeCell ref="O153:P153"/>
    <mergeCell ref="C150:F150"/>
    <mergeCell ref="I150:K150"/>
    <mergeCell ref="L150:N150"/>
    <mergeCell ref="O150:P150"/>
    <mergeCell ref="C151:F151"/>
    <mergeCell ref="I151:K151"/>
    <mergeCell ref="L151:N151"/>
    <mergeCell ref="O151:P151"/>
    <mergeCell ref="C148:F148"/>
    <mergeCell ref="I148:K148"/>
    <mergeCell ref="L148:N148"/>
    <mergeCell ref="O148:P148"/>
    <mergeCell ref="C149:F149"/>
    <mergeCell ref="I149:K149"/>
    <mergeCell ref="L149:N149"/>
    <mergeCell ref="O149:P149"/>
    <mergeCell ref="C146:F146"/>
    <mergeCell ref="I146:K146"/>
    <mergeCell ref="L146:N146"/>
    <mergeCell ref="O146:P146"/>
    <mergeCell ref="C147:F147"/>
    <mergeCell ref="I147:K147"/>
    <mergeCell ref="L147:N147"/>
    <mergeCell ref="O147:P147"/>
    <mergeCell ref="C144:F144"/>
    <mergeCell ref="I144:K144"/>
    <mergeCell ref="L144:N144"/>
    <mergeCell ref="O144:P144"/>
    <mergeCell ref="C145:F145"/>
    <mergeCell ref="I145:K145"/>
    <mergeCell ref="L145:N145"/>
    <mergeCell ref="O145:P145"/>
    <mergeCell ref="C142:F142"/>
    <mergeCell ref="I142:K142"/>
    <mergeCell ref="L142:N142"/>
    <mergeCell ref="O142:P142"/>
    <mergeCell ref="C143:F143"/>
    <mergeCell ref="I143:K143"/>
    <mergeCell ref="L143:N143"/>
    <mergeCell ref="O143:P143"/>
    <mergeCell ref="C140:F140"/>
    <mergeCell ref="I140:K140"/>
    <mergeCell ref="L140:N140"/>
    <mergeCell ref="O140:P140"/>
    <mergeCell ref="C141:F141"/>
    <mergeCell ref="I141:K141"/>
    <mergeCell ref="L141:N141"/>
    <mergeCell ref="O141:P141"/>
    <mergeCell ref="C138:F138"/>
    <mergeCell ref="I138:K138"/>
    <mergeCell ref="L138:N138"/>
    <mergeCell ref="O138:P138"/>
    <mergeCell ref="C139:F139"/>
    <mergeCell ref="I139:K139"/>
    <mergeCell ref="L139:N139"/>
    <mergeCell ref="O139:P139"/>
    <mergeCell ref="C136:F136"/>
    <mergeCell ref="I136:K136"/>
    <mergeCell ref="L136:N136"/>
    <mergeCell ref="O136:P136"/>
    <mergeCell ref="C137:F137"/>
    <mergeCell ref="I137:K137"/>
    <mergeCell ref="L137:N137"/>
    <mergeCell ref="O137:P137"/>
    <mergeCell ref="C134:F134"/>
    <mergeCell ref="I134:K134"/>
    <mergeCell ref="L134:N134"/>
    <mergeCell ref="O134:P134"/>
    <mergeCell ref="C135:F135"/>
    <mergeCell ref="I135:K135"/>
    <mergeCell ref="L135:N135"/>
    <mergeCell ref="O135:P135"/>
    <mergeCell ref="C132:F132"/>
    <mergeCell ref="I132:K132"/>
    <mergeCell ref="L132:N132"/>
    <mergeCell ref="O132:P132"/>
    <mergeCell ref="C133:F133"/>
    <mergeCell ref="I133:K133"/>
    <mergeCell ref="L133:N133"/>
    <mergeCell ref="O133:P133"/>
    <mergeCell ref="C130:F130"/>
    <mergeCell ref="I130:K130"/>
    <mergeCell ref="L130:N130"/>
    <mergeCell ref="O130:P130"/>
    <mergeCell ref="C131:F131"/>
    <mergeCell ref="I131:K131"/>
    <mergeCell ref="L131:N131"/>
    <mergeCell ref="O131:P131"/>
    <mergeCell ref="C128:F128"/>
    <mergeCell ref="I128:K128"/>
    <mergeCell ref="L128:N128"/>
    <mergeCell ref="O128:P128"/>
    <mergeCell ref="C129:F129"/>
    <mergeCell ref="I129:K129"/>
    <mergeCell ref="L129:N129"/>
    <mergeCell ref="O129:P129"/>
    <mergeCell ref="C126:F126"/>
    <mergeCell ref="I126:K126"/>
    <mergeCell ref="L126:N126"/>
    <mergeCell ref="O126:P126"/>
    <mergeCell ref="C127:F127"/>
    <mergeCell ref="I127:K127"/>
    <mergeCell ref="L127:N127"/>
    <mergeCell ref="O127:P127"/>
    <mergeCell ref="C124:F124"/>
    <mergeCell ref="I124:K124"/>
    <mergeCell ref="L124:N124"/>
    <mergeCell ref="O124:P124"/>
    <mergeCell ref="C125:F125"/>
    <mergeCell ref="I125:K125"/>
    <mergeCell ref="L125:N125"/>
    <mergeCell ref="O125:P125"/>
    <mergeCell ref="C122:F122"/>
    <mergeCell ref="I122:K122"/>
    <mergeCell ref="L122:N122"/>
    <mergeCell ref="O122:P122"/>
    <mergeCell ref="C123:F123"/>
    <mergeCell ref="I123:K123"/>
    <mergeCell ref="L123:N123"/>
    <mergeCell ref="O123:P123"/>
    <mergeCell ref="C120:F120"/>
    <mergeCell ref="I120:K120"/>
    <mergeCell ref="L120:N120"/>
    <mergeCell ref="O120:P120"/>
    <mergeCell ref="C121:F121"/>
    <mergeCell ref="I121:K121"/>
    <mergeCell ref="L121:N121"/>
    <mergeCell ref="O121:P121"/>
    <mergeCell ref="C118:F118"/>
    <mergeCell ref="I118:K118"/>
    <mergeCell ref="L118:N118"/>
    <mergeCell ref="O118:P118"/>
    <mergeCell ref="C119:F119"/>
    <mergeCell ref="I119:K119"/>
    <mergeCell ref="L119:N119"/>
    <mergeCell ref="O119:P119"/>
    <mergeCell ref="C116:F116"/>
    <mergeCell ref="I116:K116"/>
    <mergeCell ref="L116:N116"/>
    <mergeCell ref="O116:P116"/>
    <mergeCell ref="C117:F117"/>
    <mergeCell ref="I117:K117"/>
    <mergeCell ref="L117:N117"/>
    <mergeCell ref="O117:P117"/>
    <mergeCell ref="C114:F114"/>
    <mergeCell ref="I114:K114"/>
    <mergeCell ref="L114:N114"/>
    <mergeCell ref="O114:P114"/>
    <mergeCell ref="C115:F115"/>
    <mergeCell ref="I115:K115"/>
    <mergeCell ref="L115:N115"/>
    <mergeCell ref="O115:P115"/>
    <mergeCell ref="C112:F112"/>
    <mergeCell ref="I112:K112"/>
    <mergeCell ref="L112:N112"/>
    <mergeCell ref="O112:P112"/>
    <mergeCell ref="C113:F113"/>
    <mergeCell ref="I113:K113"/>
    <mergeCell ref="L113:N113"/>
    <mergeCell ref="O113:P113"/>
    <mergeCell ref="C110:F110"/>
    <mergeCell ref="I110:K110"/>
    <mergeCell ref="L110:N110"/>
    <mergeCell ref="O110:P110"/>
    <mergeCell ref="C111:F111"/>
    <mergeCell ref="I111:K111"/>
    <mergeCell ref="L111:N111"/>
    <mergeCell ref="O111:P111"/>
    <mergeCell ref="C108:F108"/>
    <mergeCell ref="I108:K108"/>
    <mergeCell ref="L108:N108"/>
    <mergeCell ref="O108:P108"/>
    <mergeCell ref="C109:F109"/>
    <mergeCell ref="I109:K109"/>
    <mergeCell ref="L109:N109"/>
    <mergeCell ref="O109:P109"/>
    <mergeCell ref="C106:F106"/>
    <mergeCell ref="I106:K106"/>
    <mergeCell ref="L106:N106"/>
    <mergeCell ref="O106:P106"/>
    <mergeCell ref="C107:F107"/>
    <mergeCell ref="I107:K107"/>
    <mergeCell ref="L107:N107"/>
    <mergeCell ref="O107:P107"/>
    <mergeCell ref="C104:F104"/>
    <mergeCell ref="I104:K104"/>
    <mergeCell ref="L104:N104"/>
    <mergeCell ref="O104:P104"/>
    <mergeCell ref="C105:F105"/>
    <mergeCell ref="I105:K105"/>
    <mergeCell ref="L105:N105"/>
    <mergeCell ref="O105:P105"/>
    <mergeCell ref="C102:F102"/>
    <mergeCell ref="I102:K102"/>
    <mergeCell ref="L102:N102"/>
    <mergeCell ref="O102:P102"/>
    <mergeCell ref="C103:F103"/>
    <mergeCell ref="I103:K103"/>
    <mergeCell ref="L103:N103"/>
    <mergeCell ref="O103:P103"/>
    <mergeCell ref="C100:F100"/>
    <mergeCell ref="I100:K100"/>
    <mergeCell ref="L100:N100"/>
    <mergeCell ref="O100:P100"/>
    <mergeCell ref="C101:F101"/>
    <mergeCell ref="I101:K101"/>
    <mergeCell ref="L101:N101"/>
    <mergeCell ref="O101:P101"/>
    <mergeCell ref="C98:F98"/>
    <mergeCell ref="I98:K98"/>
    <mergeCell ref="L98:N98"/>
    <mergeCell ref="O98:P98"/>
    <mergeCell ref="C99:F99"/>
    <mergeCell ref="I99:K99"/>
    <mergeCell ref="L99:N99"/>
    <mergeCell ref="O99:P99"/>
    <mergeCell ref="C96:F96"/>
    <mergeCell ref="I96:K96"/>
    <mergeCell ref="L96:N96"/>
    <mergeCell ref="O96:P96"/>
    <mergeCell ref="C97:F97"/>
    <mergeCell ref="I97:K97"/>
    <mergeCell ref="L97:N97"/>
    <mergeCell ref="O97:P97"/>
    <mergeCell ref="C94:F94"/>
    <mergeCell ref="I94:K94"/>
    <mergeCell ref="L94:N94"/>
    <mergeCell ref="O94:P94"/>
    <mergeCell ref="C95:F95"/>
    <mergeCell ref="I95:K95"/>
    <mergeCell ref="L95:N95"/>
    <mergeCell ref="O95:P95"/>
    <mergeCell ref="C92:F92"/>
    <mergeCell ref="I92:K92"/>
    <mergeCell ref="L92:N92"/>
    <mergeCell ref="O92:P92"/>
    <mergeCell ref="C93:F93"/>
    <mergeCell ref="I93:K93"/>
    <mergeCell ref="L93:N93"/>
    <mergeCell ref="O93:P93"/>
    <mergeCell ref="C90:F90"/>
    <mergeCell ref="I90:K90"/>
    <mergeCell ref="L90:N90"/>
    <mergeCell ref="O90:P90"/>
    <mergeCell ref="C91:F91"/>
    <mergeCell ref="I91:K91"/>
    <mergeCell ref="L91:N91"/>
    <mergeCell ref="O91:P91"/>
    <mergeCell ref="C88:F88"/>
    <mergeCell ref="I88:K88"/>
    <mergeCell ref="L88:N88"/>
    <mergeCell ref="O88:P88"/>
    <mergeCell ref="C89:F89"/>
    <mergeCell ref="I89:K89"/>
    <mergeCell ref="L89:N89"/>
    <mergeCell ref="O89:P89"/>
    <mergeCell ref="C86:F86"/>
    <mergeCell ref="I86:K86"/>
    <mergeCell ref="L86:N86"/>
    <mergeCell ref="O86:P86"/>
    <mergeCell ref="C87:F87"/>
    <mergeCell ref="I87:K87"/>
    <mergeCell ref="L87:N87"/>
    <mergeCell ref="O87:P87"/>
    <mergeCell ref="C84:F84"/>
    <mergeCell ref="I84:K84"/>
    <mergeCell ref="L84:N84"/>
    <mergeCell ref="O84:P84"/>
    <mergeCell ref="C85:F85"/>
    <mergeCell ref="I85:K85"/>
    <mergeCell ref="L85:N85"/>
    <mergeCell ref="O85:P85"/>
    <mergeCell ref="C82:F82"/>
    <mergeCell ref="I82:K82"/>
    <mergeCell ref="L82:N82"/>
    <mergeCell ref="O82:P82"/>
    <mergeCell ref="C83:F83"/>
    <mergeCell ref="I83:K83"/>
    <mergeCell ref="L83:N83"/>
    <mergeCell ref="O83:P83"/>
    <mergeCell ref="C80:F80"/>
    <mergeCell ref="I80:K80"/>
    <mergeCell ref="L80:N80"/>
    <mergeCell ref="O80:P80"/>
    <mergeCell ref="C81:F81"/>
    <mergeCell ref="I81:K81"/>
    <mergeCell ref="L81:N81"/>
    <mergeCell ref="O81:P81"/>
    <mergeCell ref="C78:F78"/>
    <mergeCell ref="I78:K78"/>
    <mergeCell ref="L78:N78"/>
    <mergeCell ref="O78:P78"/>
    <mergeCell ref="C79:F79"/>
    <mergeCell ref="I79:K79"/>
    <mergeCell ref="L79:N79"/>
    <mergeCell ref="O79:P79"/>
    <mergeCell ref="C76:F76"/>
    <mergeCell ref="I76:K76"/>
    <mergeCell ref="L76:N76"/>
    <mergeCell ref="O76:P76"/>
    <mergeCell ref="C77:F77"/>
    <mergeCell ref="I77:K77"/>
    <mergeCell ref="L77:N77"/>
    <mergeCell ref="O77:P77"/>
    <mergeCell ref="C74:F74"/>
    <mergeCell ref="I74:K74"/>
    <mergeCell ref="L74:N74"/>
    <mergeCell ref="O74:P74"/>
    <mergeCell ref="C75:F75"/>
    <mergeCell ref="I75:K75"/>
    <mergeCell ref="L75:N75"/>
    <mergeCell ref="O75:P75"/>
    <mergeCell ref="C72:F72"/>
    <mergeCell ref="I72:K72"/>
    <mergeCell ref="L72:N72"/>
    <mergeCell ref="O72:P72"/>
    <mergeCell ref="C73:F73"/>
    <mergeCell ref="I73:K73"/>
    <mergeCell ref="L73:N73"/>
    <mergeCell ref="O73:P73"/>
    <mergeCell ref="C70:F70"/>
    <mergeCell ref="I70:K70"/>
    <mergeCell ref="L70:N70"/>
    <mergeCell ref="O70:P70"/>
    <mergeCell ref="C71:F71"/>
    <mergeCell ref="I71:K71"/>
    <mergeCell ref="L71:N71"/>
    <mergeCell ref="O71:P71"/>
    <mergeCell ref="C68:F68"/>
    <mergeCell ref="I68:K68"/>
    <mergeCell ref="L68:N68"/>
    <mergeCell ref="O68:P68"/>
    <mergeCell ref="C69:F69"/>
    <mergeCell ref="I69:K69"/>
    <mergeCell ref="L69:N69"/>
    <mergeCell ref="O69:P69"/>
    <mergeCell ref="C66:F66"/>
    <mergeCell ref="I66:K66"/>
    <mergeCell ref="L66:N66"/>
    <mergeCell ref="O66:P66"/>
    <mergeCell ref="C67:F67"/>
    <mergeCell ref="I67:K67"/>
    <mergeCell ref="L67:N67"/>
    <mergeCell ref="O67:P67"/>
    <mergeCell ref="C64:F64"/>
    <mergeCell ref="I64:K64"/>
    <mergeCell ref="L64:N64"/>
    <mergeCell ref="O64:P64"/>
    <mergeCell ref="C65:F65"/>
    <mergeCell ref="I65:K65"/>
    <mergeCell ref="L65:N65"/>
    <mergeCell ref="O65:P65"/>
    <mergeCell ref="C62:F62"/>
    <mergeCell ref="I62:K62"/>
    <mergeCell ref="L62:N62"/>
    <mergeCell ref="O62:P62"/>
    <mergeCell ref="C63:F63"/>
    <mergeCell ref="I63:K63"/>
    <mergeCell ref="L63:N63"/>
    <mergeCell ref="O63:P63"/>
    <mergeCell ref="C60:F60"/>
    <mergeCell ref="I60:K60"/>
    <mergeCell ref="L60:N60"/>
    <mergeCell ref="O60:P60"/>
    <mergeCell ref="C61:F61"/>
    <mergeCell ref="I61:K61"/>
    <mergeCell ref="L61:N61"/>
    <mergeCell ref="O61:P61"/>
    <mergeCell ref="C58:F58"/>
    <mergeCell ref="I58:K58"/>
    <mergeCell ref="L58:N58"/>
    <mergeCell ref="O58:P58"/>
    <mergeCell ref="C59:F59"/>
    <mergeCell ref="I59:K59"/>
    <mergeCell ref="L59:N59"/>
    <mergeCell ref="O59:P59"/>
    <mergeCell ref="C56:F56"/>
    <mergeCell ref="I56:K56"/>
    <mergeCell ref="L56:N56"/>
    <mergeCell ref="O56:P56"/>
    <mergeCell ref="C57:F57"/>
    <mergeCell ref="I57:K57"/>
    <mergeCell ref="L57:N57"/>
    <mergeCell ref="O57:P57"/>
    <mergeCell ref="C54:F54"/>
    <mergeCell ref="I54:K54"/>
    <mergeCell ref="L54:N54"/>
    <mergeCell ref="O54:P54"/>
    <mergeCell ref="C55:F55"/>
    <mergeCell ref="I55:K55"/>
    <mergeCell ref="L55:N55"/>
    <mergeCell ref="O55:P55"/>
    <mergeCell ref="C52:F52"/>
    <mergeCell ref="I52:K52"/>
    <mergeCell ref="L52:N52"/>
    <mergeCell ref="O52:P52"/>
    <mergeCell ref="C53:F53"/>
    <mergeCell ref="I53:K53"/>
    <mergeCell ref="L53:N53"/>
    <mergeCell ref="O53:P53"/>
    <mergeCell ref="C50:F50"/>
    <mergeCell ref="I50:K50"/>
    <mergeCell ref="L50:N50"/>
    <mergeCell ref="O50:P50"/>
    <mergeCell ref="C51:F51"/>
    <mergeCell ref="I51:K51"/>
    <mergeCell ref="L51:N51"/>
    <mergeCell ref="O51:P51"/>
    <mergeCell ref="C48:F48"/>
    <mergeCell ref="I48:K48"/>
    <mergeCell ref="L48:N48"/>
    <mergeCell ref="O48:P48"/>
    <mergeCell ref="C49:F49"/>
    <mergeCell ref="I49:K49"/>
    <mergeCell ref="L49:N49"/>
    <mergeCell ref="O49:P49"/>
    <mergeCell ref="C46:F46"/>
    <mergeCell ref="I46:K46"/>
    <mergeCell ref="L46:N46"/>
    <mergeCell ref="O46:P46"/>
    <mergeCell ref="C47:F47"/>
    <mergeCell ref="I47:K47"/>
    <mergeCell ref="L47:N47"/>
    <mergeCell ref="O47:P47"/>
    <mergeCell ref="C44:F44"/>
    <mergeCell ref="I44:K44"/>
    <mergeCell ref="L44:N44"/>
    <mergeCell ref="O44:P44"/>
    <mergeCell ref="C45:F45"/>
    <mergeCell ref="I45:K45"/>
    <mergeCell ref="L45:N45"/>
    <mergeCell ref="O45:P45"/>
    <mergeCell ref="C42:F42"/>
    <mergeCell ref="I42:K42"/>
    <mergeCell ref="L42:N42"/>
    <mergeCell ref="O42:P42"/>
    <mergeCell ref="C43:F43"/>
    <mergeCell ref="I43:K43"/>
    <mergeCell ref="L43:N43"/>
    <mergeCell ref="O43:P43"/>
    <mergeCell ref="C40:F40"/>
    <mergeCell ref="I40:K40"/>
    <mergeCell ref="L40:N40"/>
    <mergeCell ref="O40:P40"/>
    <mergeCell ref="C41:F41"/>
    <mergeCell ref="I41:K41"/>
    <mergeCell ref="L41:N41"/>
    <mergeCell ref="O41:P41"/>
    <mergeCell ref="C38:F38"/>
    <mergeCell ref="I38:K38"/>
    <mergeCell ref="L38:N38"/>
    <mergeCell ref="O38:P38"/>
    <mergeCell ref="C39:F39"/>
    <mergeCell ref="I39:K39"/>
    <mergeCell ref="L39:N39"/>
    <mergeCell ref="O39:P39"/>
    <mergeCell ref="C36:F36"/>
    <mergeCell ref="I36:K36"/>
    <mergeCell ref="L36:N36"/>
    <mergeCell ref="O36:P36"/>
    <mergeCell ref="C37:F37"/>
    <mergeCell ref="I37:K37"/>
    <mergeCell ref="L37:N37"/>
    <mergeCell ref="O37:P37"/>
    <mergeCell ref="C34:F34"/>
    <mergeCell ref="I34:K34"/>
    <mergeCell ref="L34:N34"/>
    <mergeCell ref="O34:P34"/>
    <mergeCell ref="C35:F35"/>
    <mergeCell ref="I35:K35"/>
    <mergeCell ref="L35:N35"/>
    <mergeCell ref="O35:P35"/>
    <mergeCell ref="C32:F32"/>
    <mergeCell ref="I32:K32"/>
    <mergeCell ref="L32:N32"/>
    <mergeCell ref="O32:P32"/>
    <mergeCell ref="C33:F33"/>
    <mergeCell ref="I33:K33"/>
    <mergeCell ref="L33:N33"/>
    <mergeCell ref="O33:P33"/>
    <mergeCell ref="C30:F30"/>
    <mergeCell ref="I30:K30"/>
    <mergeCell ref="L30:N30"/>
    <mergeCell ref="O30:P30"/>
    <mergeCell ref="C31:F31"/>
    <mergeCell ref="I31:K31"/>
    <mergeCell ref="L31:N31"/>
    <mergeCell ref="O31:P31"/>
    <mergeCell ref="C28:F28"/>
    <mergeCell ref="I28:K28"/>
    <mergeCell ref="L28:N28"/>
    <mergeCell ref="O28:P28"/>
    <mergeCell ref="C29:F29"/>
    <mergeCell ref="I29:K29"/>
    <mergeCell ref="L29:N29"/>
    <mergeCell ref="O29:P29"/>
    <mergeCell ref="C26:F26"/>
    <mergeCell ref="I26:K26"/>
    <mergeCell ref="L26:N26"/>
    <mergeCell ref="O26:P26"/>
    <mergeCell ref="C27:F27"/>
    <mergeCell ref="I27:K27"/>
    <mergeCell ref="L27:N27"/>
    <mergeCell ref="O27:P27"/>
    <mergeCell ref="C24:F24"/>
    <mergeCell ref="I24:K24"/>
    <mergeCell ref="L24:N24"/>
    <mergeCell ref="O24:P24"/>
    <mergeCell ref="C25:F25"/>
    <mergeCell ref="I25:K25"/>
    <mergeCell ref="L25:N25"/>
    <mergeCell ref="O25:P25"/>
    <mergeCell ref="C22:F22"/>
    <mergeCell ref="I22:K22"/>
    <mergeCell ref="L22:N22"/>
    <mergeCell ref="O22:P22"/>
    <mergeCell ref="C23:F23"/>
    <mergeCell ref="I23:K23"/>
    <mergeCell ref="L23:N23"/>
    <mergeCell ref="O23:P23"/>
    <mergeCell ref="C20:F20"/>
    <mergeCell ref="I20:K20"/>
    <mergeCell ref="L20:N20"/>
    <mergeCell ref="O20:P20"/>
    <mergeCell ref="C21:F21"/>
    <mergeCell ref="I21:K21"/>
    <mergeCell ref="L21:N21"/>
    <mergeCell ref="O21:P21"/>
    <mergeCell ref="C18:F18"/>
    <mergeCell ref="I18:K18"/>
    <mergeCell ref="L18:N18"/>
    <mergeCell ref="O18:P18"/>
    <mergeCell ref="C19:F19"/>
    <mergeCell ref="I19:K19"/>
    <mergeCell ref="L19:N19"/>
    <mergeCell ref="O19:P19"/>
    <mergeCell ref="C16:F16"/>
    <mergeCell ref="I16:K16"/>
    <mergeCell ref="L16:N16"/>
    <mergeCell ref="O16:P16"/>
    <mergeCell ref="C17:F17"/>
    <mergeCell ref="I17:K17"/>
    <mergeCell ref="L17:N17"/>
    <mergeCell ref="O17:P17"/>
    <mergeCell ref="C14:F14"/>
    <mergeCell ref="I14:K14"/>
    <mergeCell ref="L14:N14"/>
    <mergeCell ref="O14:P14"/>
    <mergeCell ref="C15:F15"/>
    <mergeCell ref="I15:K15"/>
    <mergeCell ref="L15:N15"/>
    <mergeCell ref="O15:P15"/>
    <mergeCell ref="C12:F12"/>
    <mergeCell ref="I12:K12"/>
    <mergeCell ref="L12:N12"/>
    <mergeCell ref="O12:P12"/>
    <mergeCell ref="C13:F13"/>
    <mergeCell ref="I13:K13"/>
    <mergeCell ref="L13:N13"/>
    <mergeCell ref="O13:P13"/>
    <mergeCell ref="B10:F10"/>
    <mergeCell ref="I10:K10"/>
    <mergeCell ref="L10:N10"/>
    <mergeCell ref="O10:P10"/>
    <mergeCell ref="C11:F11"/>
    <mergeCell ref="I11:K11"/>
    <mergeCell ref="L11:N11"/>
    <mergeCell ref="O11:P11"/>
    <mergeCell ref="B2:F3"/>
    <mergeCell ref="J3:L4"/>
    <mergeCell ref="N3:O4"/>
    <mergeCell ref="B4:E5"/>
    <mergeCell ref="B6:D6"/>
    <mergeCell ref="D8:J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4</vt:i4>
      </vt:variant>
    </vt:vector>
  </HeadingPairs>
  <TitlesOfParts>
    <vt:vector size="17" baseType="lpstr">
      <vt:lpstr>Opći dio - sažetak</vt:lpstr>
      <vt:lpstr>Prihodi prema ekonomskoj klas.</vt:lpstr>
      <vt:lpstr>Rashodi prema ekonomskoj klas.</vt:lpstr>
      <vt:lpstr>Prihodi prema izvorima financ.</vt:lpstr>
      <vt:lpstr>Rashodi prema izvorima financ.</vt:lpstr>
      <vt:lpstr>Rashodi prema funkcijskoj klas.</vt:lpstr>
      <vt:lpstr>Primici prema ekonomskoj klas.</vt:lpstr>
      <vt:lpstr>Izdaci prema ekonomskoj klas.</vt:lpstr>
      <vt:lpstr>Primici prema izvorima financ.</vt:lpstr>
      <vt:lpstr>Izdaci prema izvorima financ.</vt:lpstr>
      <vt:lpstr>Posebni dio</vt:lpstr>
      <vt:lpstr>Obrazloženje općeg dijela</vt:lpstr>
      <vt:lpstr>Obrazloženje posebnog dijela</vt:lpstr>
      <vt:lpstr>'Izdaci prema ekonomskoj klas.'!Print_Titles</vt:lpstr>
      <vt:lpstr>'Izdaci prema izvorima financ.'!Print_Titles</vt:lpstr>
      <vt:lpstr>'Primici prema ekonomskoj klas.'!Print_Titles</vt:lpstr>
      <vt:lpstr>'Primici prema izvorima financ.'!Print_Titles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2023-07-29T23:03:39Z</dcterms:created>
  <dcterms:modified xsi:type="dcterms:W3CDTF">2023-07-29T23:19:53Z</dcterms:modified>
</cp:coreProperties>
</file>